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65" yWindow="-15" windowWidth="15480" windowHeight="11640"/>
  </bookViews>
  <sheets>
    <sheet name="2017 budget" sheetId="1" r:id="rId1"/>
    <sheet name="Personnel" sheetId="2" r:id="rId2"/>
  </sheets>
  <definedNames>
    <definedName name="_xlnm.Print_Titles" localSheetId="0">'2017 budget'!$A:$G,'2017 budget'!$1:$2</definedName>
    <definedName name="QB_COLUMN_59200" localSheetId="0" hidden="1">'2017 budget'!#REF!</definedName>
    <definedName name="QB_COLUMN_62240" localSheetId="0" hidden="1">'2017 budget'!$J$2</definedName>
    <definedName name="QB_COLUMN_63620" localSheetId="0" hidden="1">'2017 budget'!#REF!</definedName>
    <definedName name="QB_COLUMN_63660" localSheetId="0" hidden="1">'2017 budget'!$N$2</definedName>
    <definedName name="QB_COLUMN_64430" localSheetId="0" hidden="1">'2017 budget'!#REF!</definedName>
    <definedName name="QB_COLUMN_64470" localSheetId="0" hidden="1">'2017 budget'!#REF!</definedName>
    <definedName name="QB_COLUMN_76210" localSheetId="0" hidden="1">'2017 budget'!#REF!</definedName>
    <definedName name="QB_COLUMN_76250" localSheetId="0" hidden="1">'2017 budget'!#REF!</definedName>
    <definedName name="QB_COLUMN_76280" localSheetId="0" hidden="1">'2017 budget'!$L$2</definedName>
    <definedName name="QB_DATA_0" localSheetId="0" hidden="1">'2017 budget'!$5:$5,'2017 budget'!$6:$6,'2017 budget'!$7:$7,'2017 budget'!$10:$10,'2017 budget'!$11:$11,'2017 budget'!$12:$12,'2017 budget'!$16:$16,'2017 budget'!$17:$17,'2017 budget'!$18:$18,'2017 budget'!$19:$19,'2017 budget'!$21:$21,'2017 budget'!$22:$22,'2017 budget'!$25:$25,'2017 budget'!$26:$26,'2017 budget'!$27:$27,'2017 budget'!$28:$28</definedName>
    <definedName name="QB_DATA_1" localSheetId="0" hidden="1">'2017 budget'!$32:$32,'2017 budget'!$33:$33,'2017 budget'!$34:$34,'2017 budget'!$35:$35,'2017 budget'!$36:$36,'2017 budget'!$37:$37,'2017 budget'!$39:$39,'2017 budget'!$41:$41,'2017 budget'!$47:$47,'2017 budget'!$48:$48,'2017 budget'!$49:$49,'2017 budget'!$51:$51,'2017 budget'!$52:$52,'2017 budget'!$54:$54,'2017 budget'!$55:$55,'2017 budget'!$56:$56</definedName>
    <definedName name="QB_DATA_2" localSheetId="0" hidden="1">'2017 budget'!$57:$57,'2017 budget'!$60:$60,'2017 budget'!$63:$63,'2017 budget'!$64:$64,'2017 budget'!$65:$65,'2017 budget'!$66:$66,'2017 budget'!$68:$68,'2017 budget'!$73:$73,'2017 budget'!$74:$74,'2017 budget'!$75:$75,'2017 budget'!$76:$76,'2017 budget'!$77:$77,'2017 budget'!$78:$78,'2017 budget'!$80:$80,'2017 budget'!$81:$81,'2017 budget'!$82:$82</definedName>
    <definedName name="QB_DATA_3" localSheetId="0" hidden="1">'2017 budget'!$83:$83,'2017 budget'!$84:$84,'2017 budget'!$87:$87,'2017 budget'!$88:$88,'2017 budget'!$89:$89,'2017 budget'!$91:$91,'2017 budget'!$92:$92,'2017 budget'!$93:$93,'2017 budget'!$95:$95,'2017 budget'!$96:$96,'2017 budget'!$97:$97,'2017 budget'!$98:$98,'2017 budget'!$99:$99,'2017 budget'!$100:$100,'2017 budget'!$102:$102,'2017 budget'!$104:$104</definedName>
    <definedName name="QB_DATA_4" localSheetId="0" hidden="1">'2017 budget'!$105:$105,'2017 budget'!$106:$106,'2017 budget'!$107:$107,'2017 budget'!$109:$109,'2017 budget'!$110:$110,'2017 budget'!$111:$111,'2017 budget'!$112:$112,'2017 budget'!$113:$113,'2017 budget'!$115:$115,'2017 budget'!$116:$116,'2017 budget'!$117:$117,'2017 budget'!$120:$120,'2017 budget'!$121:$121,'2017 budget'!$122:$122,'2017 budget'!$123:$123,'2017 budget'!$124:$124</definedName>
    <definedName name="QB_DATA_5" localSheetId="0" hidden="1">'2017 budget'!$125:$125,'2017 budget'!$126:$126,'2017 budget'!$127:$127,'2017 budget'!$128:$128,'2017 budget'!#REF!,'2017 budget'!$131:$131,'2017 budget'!#REF!,'2017 budget'!$132:$132,'2017 budget'!$133:$133,'2017 budget'!$137:$137,'2017 budget'!$138:$138,'2017 budget'!$139:$139,'2017 budget'!$140:$140,'2017 budget'!$141:$141,'2017 budget'!$142:$142,'2017 budget'!$143:$143</definedName>
    <definedName name="QB_DATA_6" localSheetId="0" hidden="1">'2017 budget'!$148:$148,'2017 budget'!$149:$149,'2017 budget'!$150:$150,'2017 budget'!$151:$151,'2017 budget'!$154:$154,'2017 budget'!$155:$155</definedName>
    <definedName name="QB_FORMULA_0" localSheetId="0" hidden="1">'2017 budget'!$N$5,'2017 budget'!#REF!,'2017 budget'!$N$6,'2017 budget'!#REF!,'2017 budget'!$N$7,'2017 budget'!#REF!,'2017 budget'!#REF!,'2017 budget'!$J$8,'2017 budget'!$L$8,'2017 budget'!$N$8,'2017 budget'!#REF!,'2017 budget'!#REF!,'2017 budget'!$N$10,'2017 budget'!#REF!,'2017 budget'!$N$11,'2017 budget'!#REF!</definedName>
    <definedName name="QB_FORMULA_1" localSheetId="0" hidden="1">'2017 budget'!$N$12,'2017 budget'!#REF!,'2017 budget'!#REF!,'2017 budget'!$J$13,'2017 budget'!$L$13,'2017 budget'!$N$13,'2017 budget'!#REF!,'2017 budget'!#REF!,'2017 budget'!$N$16,'2017 budget'!#REF!,'2017 budget'!$N$17,'2017 budget'!#REF!,'2017 budget'!$N$18,'2017 budget'!#REF!,'2017 budget'!$N$19,'2017 budget'!#REF!</definedName>
    <definedName name="QB_FORMULA_10" localSheetId="0" hidden="1">'2017 budget'!$N$89,'2017 budget'!#REF!,'2017 budget'!#REF!,'2017 budget'!$J$90,'2017 budget'!$L$90,'2017 budget'!$N$90,'2017 budget'!#REF!,'2017 budget'!#REF!,'2017 budget'!$N$91,'2017 budget'!#REF!,'2017 budget'!$N$92,'2017 budget'!#REF!,'2017 budget'!$N$93,'2017 budget'!#REF!,'2017 budget'!$N$95,'2017 budget'!#REF!</definedName>
    <definedName name="QB_FORMULA_11" localSheetId="0" hidden="1">'2017 budget'!$N$96,'2017 budget'!#REF!,'2017 budget'!$N$97,'2017 budget'!#REF!,'2017 budget'!$N$98,'2017 budget'!#REF!,'2017 budget'!$N$99,'2017 budget'!#REF!,'2017 budget'!$N$100,'2017 budget'!#REF!,'2017 budget'!#REF!,'2017 budget'!$J$101,'2017 budget'!$L$101,'2017 budget'!$N$101,'2017 budget'!#REF!,'2017 budget'!#REF!</definedName>
    <definedName name="QB_FORMULA_12" localSheetId="0" hidden="1">'2017 budget'!$N$102,'2017 budget'!#REF!,'2017 budget'!$N$104,'2017 budget'!#REF!,'2017 budget'!$N$105,'2017 budget'!#REF!,'2017 budget'!$N$106,'2017 budget'!#REF!,'2017 budget'!$N$107,'2017 budget'!#REF!,'2017 budget'!#REF!,'2017 budget'!$J$108,'2017 budget'!$L$108,'2017 budget'!$N$108,'2017 budget'!#REF!,'2017 budget'!#REF!</definedName>
    <definedName name="QB_FORMULA_13" localSheetId="0" hidden="1">'2017 budget'!$N$109,'2017 budget'!#REF!,'2017 budget'!$N$110,'2017 budget'!#REF!,'2017 budget'!$N$111,'2017 budget'!#REF!,'2017 budget'!$N$112,'2017 budget'!#REF!,'2017 budget'!$N$113,'2017 budget'!#REF!,'2017 budget'!$N$115,'2017 budget'!#REF!,'2017 budget'!$N$116,'2017 budget'!#REF!,'2017 budget'!$N$117,'2017 budget'!#REF!</definedName>
    <definedName name="QB_FORMULA_14" localSheetId="0" hidden="1">'2017 budget'!#REF!,'2017 budget'!$J$118,'2017 budget'!$L$118,'2017 budget'!$N$118,'2017 budget'!#REF!,'2017 budget'!#REF!,'2017 budget'!$N$120,'2017 budget'!#REF!,'2017 budget'!$N$121,'2017 budget'!#REF!,'2017 budget'!$N$122,'2017 budget'!#REF!,'2017 budget'!$N$123,'2017 budget'!#REF!,'2017 budget'!$N$124,'2017 budget'!#REF!</definedName>
    <definedName name="QB_FORMULA_15" localSheetId="0" hidden="1">'2017 budget'!$N$125,'2017 budget'!#REF!,'2017 budget'!$N$126,'2017 budget'!#REF!,'2017 budget'!$N$127,'2017 budget'!#REF!,'2017 budget'!$N$128,'2017 budget'!#REF!,'2017 budget'!#REF!,'2017 budget'!#REF!,'2017 budget'!$N$131,'2017 budget'!#REF!,'2017 budget'!#REF!,'2017 budget'!#REF!,'2017 budget'!$N$132,'2017 budget'!#REF!</definedName>
    <definedName name="QB_FORMULA_16" localSheetId="0" hidden="1">'2017 budget'!$N$133,'2017 budget'!#REF!,'2017 budget'!#REF!,'2017 budget'!$J$134,'2017 budget'!$L$134,'2017 budget'!$N$134,'2017 budget'!#REF!,'2017 budget'!#REF!,'2017 budget'!#REF!,'2017 budget'!$J$135,'2017 budget'!$L$135,'2017 budget'!$N$135,'2017 budget'!#REF!,'2017 budget'!#REF!,'2017 budget'!$N$137,'2017 budget'!#REF!</definedName>
    <definedName name="QB_FORMULA_17" localSheetId="0" hidden="1">'2017 budget'!$N$138,'2017 budget'!#REF!,'2017 budget'!$N$139,'2017 budget'!#REF!,'2017 budget'!$N$140,'2017 budget'!#REF!,'2017 budget'!$N$141,'2017 budget'!#REF!,'2017 budget'!$N$142,'2017 budget'!#REF!,'2017 budget'!$N$143,'2017 budget'!#REF!,'2017 budget'!#REF!,'2017 budget'!$J$144,'2017 budget'!$L$144,'2017 budget'!$N$144</definedName>
    <definedName name="QB_FORMULA_18" localSheetId="0" hidden="1">'2017 budget'!#REF!,'2017 budget'!#REF!,'2017 budget'!#REF!,'2017 budget'!$J$145,'2017 budget'!$L$145,'2017 budget'!$N$145,'2017 budget'!#REF!,'2017 budget'!#REF!,'2017 budget'!#REF!,'2017 budget'!#REF!,'2017 budget'!#REF!,'2017 budget'!#REF!,'2017 budget'!#REF!,'2017 budget'!#REF!,'2017 budget'!$N$148,'2017 budget'!#REF!</definedName>
    <definedName name="QB_FORMULA_19" localSheetId="0" hidden="1">'2017 budget'!$N$149,'2017 budget'!#REF!,'2017 budget'!$N$150,'2017 budget'!#REF!,'2017 budget'!#REF!,'2017 budget'!$J$152,'2017 budget'!$L$152,'2017 budget'!$N$152,'2017 budget'!#REF!,'2017 budget'!#REF!,'2017 budget'!$N$155,'2017 budget'!#REF!,'2017 budget'!#REF!,'2017 budget'!$J$156,'2017 budget'!$L$156,'2017 budget'!$N$156</definedName>
    <definedName name="QB_FORMULA_2" localSheetId="0" hidden="1">'2017 budget'!#REF!,'2017 budget'!$J$20,'2017 budget'!$L$20,'2017 budget'!$N$20,'2017 budget'!#REF!,'2017 budget'!#REF!,'2017 budget'!$N$21,'2017 budget'!#REF!,'2017 budget'!$N$22,'2017 budget'!#REF!,'2017 budget'!#REF!,'2017 budget'!$J$23,'2017 budget'!$L$23,'2017 budget'!$N$23,'2017 budget'!#REF!,'2017 budget'!#REF!</definedName>
    <definedName name="QB_FORMULA_20" localSheetId="0" hidden="1">'2017 budget'!#REF!,'2017 budget'!#REF!,'2017 budget'!#REF!,'2017 budget'!$J$157,'2017 budget'!$L$157,'2017 budget'!$N$157,'2017 budget'!#REF!,'2017 budget'!#REF!,'2017 budget'!#REF!,'2017 budget'!$J$158,'2017 budget'!$L$158,'2017 budget'!$N$158,'2017 budget'!#REF!,'2017 budget'!#REF!</definedName>
    <definedName name="QB_FORMULA_3" localSheetId="0" hidden="1">'2017 budget'!$N$25,'2017 budget'!#REF!,'2017 budget'!$N$26,'2017 budget'!#REF!,'2017 budget'!$N$27,'2017 budget'!#REF!,'2017 budget'!$N$28,'2017 budget'!#REF!,'2017 budget'!#REF!,'2017 budget'!$J$29,'2017 budget'!$L$29,'2017 budget'!$N$29,'2017 budget'!#REF!,'2017 budget'!#REF!,'2017 budget'!$N$32,'2017 budget'!#REF!</definedName>
    <definedName name="QB_FORMULA_4" localSheetId="0" hidden="1">'2017 budget'!$N$34,'2017 budget'!#REF!,'2017 budget'!$N$35,'2017 budget'!#REF!,'2017 budget'!$N$36,'2017 budget'!#REF!,'2017 budget'!$N$37,'2017 budget'!#REF!,'2017 budget'!$N$41,'2017 budget'!#REF!,'2017 budget'!$N$47,'2017 budget'!#REF!,'2017 budget'!$N$48,'2017 budget'!#REF!,'2017 budget'!$N$49,'2017 budget'!#REF!</definedName>
    <definedName name="QB_FORMULA_5" localSheetId="0" hidden="1">'2017 budget'!$N$51,'2017 budget'!#REF!,'2017 budget'!$N$52,'2017 budget'!#REF!,'2017 budget'!$N$54,'2017 budget'!#REF!,'2017 budget'!$N$55,'2017 budget'!#REF!,'2017 budget'!$N$56,'2017 budget'!#REF!,'2017 budget'!$N$57,'2017 budget'!#REF!,'2017 budget'!$N$60,'2017 budget'!#REF!,'2017 budget'!#REF!,'2017 budget'!$J$61</definedName>
    <definedName name="QB_FORMULA_6" localSheetId="0" hidden="1">'2017 budget'!$L$61,'2017 budget'!$N$61,'2017 budget'!#REF!,'2017 budget'!#REF!,'2017 budget'!$N$63,'2017 budget'!#REF!,'2017 budget'!$N$64,'2017 budget'!#REF!,'2017 budget'!$N$65,'2017 budget'!#REF!,'2017 budget'!$N$66,'2017 budget'!#REF!,'2017 budget'!#REF!,'2017 budget'!$J$67,'2017 budget'!$L$67,'2017 budget'!$N$67</definedName>
    <definedName name="QB_FORMULA_7" localSheetId="0" hidden="1">'2017 budget'!#REF!,'2017 budget'!#REF!,'2017 budget'!$N$68,'2017 budget'!#REF!,'2017 budget'!#REF!,'2017 budget'!$J$69,'2017 budget'!$L$69,'2017 budget'!$N$69,'2017 budget'!#REF!,'2017 budget'!#REF!,'2017 budget'!#REF!,'2017 budget'!$J$70,'2017 budget'!$L$70,'2017 budget'!$N$70,'2017 budget'!#REF!,'2017 budget'!#REF!</definedName>
    <definedName name="QB_FORMULA_8" localSheetId="0" hidden="1">'2017 budget'!$N$73,'2017 budget'!#REF!,'2017 budget'!$N$74,'2017 budget'!#REF!,'2017 budget'!$N$75,'2017 budget'!#REF!,'2017 budget'!$N$76,'2017 budget'!#REF!,'2017 budget'!$N$77,'2017 budget'!#REF!,'2017 budget'!$N$78,'2017 budget'!#REF!,'2017 budget'!$N$80,'2017 budget'!#REF!,'2017 budget'!$N$81,'2017 budget'!#REF!</definedName>
    <definedName name="QB_FORMULA_9" localSheetId="0" hidden="1">'2017 budget'!$N$82,'2017 budget'!#REF!,'2017 budget'!$N$83,'2017 budget'!#REF!,'2017 budget'!$N$84,'2017 budget'!#REF!,'2017 budget'!#REF!,'2017 budget'!$J$85,'2017 budget'!$L$85,'2017 budget'!$N$85,'2017 budget'!#REF!,'2017 budget'!#REF!,'2017 budget'!$N$87,'2017 budget'!#REF!,'2017 budget'!$N$88,'2017 budget'!#REF!</definedName>
    <definedName name="QB_ROW_108250" localSheetId="0" hidden="1">'2017 budget'!$F$66</definedName>
    <definedName name="QB_ROW_11040" localSheetId="0" hidden="1">'2017 budget'!$E$24</definedName>
    <definedName name="QB_ROW_11340" localSheetId="0" hidden="1">'2017 budget'!$E$29</definedName>
    <definedName name="QB_ROW_115230" localSheetId="0" hidden="1">'2017 budget'!$D$149</definedName>
    <definedName name="QB_ROW_118250" localSheetId="0" hidden="1">'2017 budget'!$F$28</definedName>
    <definedName name="QB_ROW_119250" localSheetId="0" hidden="1">'2017 budget'!$F$21</definedName>
    <definedName name="QB_ROW_120250" localSheetId="0" hidden="1">'2017 budget'!$F$36</definedName>
    <definedName name="QB_ROW_12040" localSheetId="0" hidden="1">'2017 budget'!$E$14</definedName>
    <definedName name="QB_ROW_12340" localSheetId="0" hidden="1">'2017 budget'!$E$23</definedName>
    <definedName name="QB_ROW_125250" localSheetId="0" hidden="1">'2017 budget'!$F$65</definedName>
    <definedName name="QB_ROW_126040" localSheetId="0" hidden="1">'2017 budget'!$E$9</definedName>
    <definedName name="QB_ROW_126340" localSheetId="0" hidden="1">'2017 budget'!$E$13</definedName>
    <definedName name="QB_ROW_127250" localSheetId="0" hidden="1">'2017 budget'!$F$11</definedName>
    <definedName name="QB_ROW_128250" localSheetId="0" hidden="1">'2017 budget'!$F$12</definedName>
    <definedName name="QB_ROW_130250" localSheetId="0" hidden="1">'2017 budget'!$F$10</definedName>
    <definedName name="QB_ROW_13040" localSheetId="0" hidden="1">'2017 budget'!$E$30</definedName>
    <definedName name="QB_ROW_132050" localSheetId="0" hidden="1">'2017 budget'!$F$15</definedName>
    <definedName name="QB_ROW_132350" localSheetId="0" hidden="1">'2017 budget'!$F$20</definedName>
    <definedName name="QB_ROW_133250" localSheetId="0" hidden="1">'2017 budget'!$F$41</definedName>
    <definedName name="QB_ROW_13340" localSheetId="0" hidden="1">'2017 budget'!$E$61</definedName>
    <definedName name="QB_ROW_136250" localSheetId="0" hidden="1">'2017 budget'!$F$49</definedName>
    <definedName name="QB_ROW_138250" localSheetId="0" hidden="1">'2017 budget'!$F$52</definedName>
    <definedName name="QB_ROW_139250" localSheetId="0" hidden="1">'2017 budget'!$F$56</definedName>
    <definedName name="QB_ROW_144260" localSheetId="0" hidden="1">'2017 budget'!$G$117</definedName>
    <definedName name="QB_ROW_148250" localSheetId="0" hidden="1">'2017 budget'!$F$37</definedName>
    <definedName name="QB_ROW_15230" localSheetId="0" hidden="1">'2017 budget'!$D$151</definedName>
    <definedName name="QB_ROW_155040" localSheetId="0" hidden="1">'2017 budget'!$E$62</definedName>
    <definedName name="QB_ROW_155340" localSheetId="0" hidden="1">'2017 budget'!$E$67</definedName>
    <definedName name="QB_ROW_156260" localSheetId="0" hidden="1">'2017 budget'!$G$97</definedName>
    <definedName name="QB_ROW_157260" localSheetId="0" hidden="1">'2017 budget'!$G$98</definedName>
    <definedName name="QB_ROW_160260" localSheetId="0" hidden="1">'2017 budget'!$G$96</definedName>
    <definedName name="QB_ROW_16230" localSheetId="0" hidden="1">'2017 budget'!$D$150</definedName>
    <definedName name="QB_ROW_168240" localSheetId="0" hidden="1">'2017 budget'!$E$68</definedName>
    <definedName name="QB_ROW_169250" localSheetId="0" hidden="1">'2017 budget'!$F$54</definedName>
    <definedName name="QB_ROW_171250" localSheetId="0" hidden="1">'2017 budget'!$F$51</definedName>
    <definedName name="QB_ROW_173260" localSheetId="0" hidden="1">'2017 budget'!$G$100</definedName>
    <definedName name="QB_ROW_174260" localSheetId="0" hidden="1">'2017 budget'!$G$131</definedName>
    <definedName name="QB_ROW_182250" localSheetId="0" hidden="1">'2017 budget'!$F$22</definedName>
    <definedName name="QB_ROW_18301" localSheetId="0" hidden="1">'2017 budget'!$A$158</definedName>
    <definedName name="QB_ROW_18350" localSheetId="0" hidden="1">'2017 budget'!$F$112</definedName>
    <definedName name="QB_ROW_19011" localSheetId="0" hidden="1">'2017 budget'!#REF!</definedName>
    <definedName name="QB_ROW_190250" localSheetId="0" hidden="1">'2017 budget'!$F$76</definedName>
    <definedName name="QB_ROW_19311" localSheetId="0" hidden="1">'2017 budget'!#REF!</definedName>
    <definedName name="QB_ROW_196260" localSheetId="0" hidden="1">'2017 budget'!$G$83</definedName>
    <definedName name="QB_ROW_198250" localSheetId="0" hidden="1">'2017 budget'!$F$93</definedName>
    <definedName name="QB_ROW_20031" localSheetId="0" hidden="1">'2017 budget'!$D$3</definedName>
    <definedName name="QB_ROW_20331" localSheetId="0" hidden="1">'2017 budget'!$D$69</definedName>
    <definedName name="QB_ROW_2040" localSheetId="0" hidden="1">'2017 budget'!$E$136</definedName>
    <definedName name="QB_ROW_204250" localSheetId="0" hidden="1">'2017 budget'!$F$55</definedName>
    <definedName name="QB_ROW_206230" localSheetId="0" hidden="1">'2017 budget'!$D$155</definedName>
    <definedName name="QB_ROW_21031" localSheetId="0" hidden="1">'2017 budget'!$D$71</definedName>
    <definedName name="QB_ROW_21331" localSheetId="0" hidden="1">'2017 budget'!$D$145</definedName>
    <definedName name="QB_ROW_22011" localSheetId="0" hidden="1">'2017 budget'!$B$146</definedName>
    <definedName name="QB_ROW_22311" localSheetId="0" hidden="1">'2017 budget'!$B$157</definedName>
    <definedName name="QB_ROW_23021" localSheetId="0" hidden="1">'2017 budget'!$C$147</definedName>
    <definedName name="QB_ROW_23321" localSheetId="0" hidden="1">'2017 budget'!$C$152</definedName>
    <definedName name="QB_ROW_2340" localSheetId="0" hidden="1">'2017 budget'!$E$144</definedName>
    <definedName name="QB_ROW_236250" localSheetId="0" hidden="1">'2017 budget'!$F$6</definedName>
    <definedName name="QB_ROW_24021" localSheetId="0" hidden="1">'2017 budget'!$C$153</definedName>
    <definedName name="QB_ROW_241260" localSheetId="0" hidden="1">'2017 budget'!$G$87</definedName>
    <definedName name="QB_ROW_24321" localSheetId="0" hidden="1">'2017 budget'!$C$156</definedName>
    <definedName name="QB_ROW_25250" localSheetId="0" hidden="1">'2017 budget'!$F$48</definedName>
    <definedName name="QB_ROW_256250" localSheetId="0" hidden="1">'2017 budget'!$F$39</definedName>
    <definedName name="QB_ROW_270260" localSheetId="0" hidden="1">'2017 budget'!$G$18</definedName>
    <definedName name="QB_ROW_271260" localSheetId="0" hidden="1">'2017 budget'!$G$19</definedName>
    <definedName name="QB_ROW_27250" localSheetId="0" hidden="1">'2017 budget'!$F$5</definedName>
    <definedName name="QB_ROW_273260" localSheetId="0" hidden="1">'2017 budget'!$G$16</definedName>
    <definedName name="QB_ROW_274260" localSheetId="0" hidden="1">'2017 budget'!$G$17</definedName>
    <definedName name="QB_ROW_277260" localSheetId="0" hidden="1">'2017 budget'!$G$128</definedName>
    <definedName name="QB_ROW_293250" localSheetId="0" hidden="1">'2017 budget'!$F$77</definedName>
    <definedName name="QB_ROW_295250" localSheetId="0" hidden="1">'2017 budget'!$F$7</definedName>
    <definedName name="QB_ROW_31250" localSheetId="0" hidden="1">'2017 budget'!$F$57</definedName>
    <definedName name="QB_ROW_316350" localSheetId="0" hidden="1">'2017 budget'!$F$137</definedName>
    <definedName name="QB_ROW_317350" localSheetId="0" hidden="1">'2017 budget'!$F$138</definedName>
    <definedName name="QB_ROW_318350" localSheetId="0" hidden="1">'2017 budget'!$F$139</definedName>
    <definedName name="QB_ROW_329250" localSheetId="0" hidden="1">'2017 budget'!$F$140</definedName>
    <definedName name="QB_ROW_330250" localSheetId="0" hidden="1">'2017 budget'!$F$141</definedName>
    <definedName name="QB_ROW_332250" localSheetId="0" hidden="1">'2017 budget'!$F$142</definedName>
    <definedName name="QB_ROW_33250" localSheetId="0" hidden="1">'2017 budget'!$F$60</definedName>
    <definedName name="QB_ROW_333250" localSheetId="0" hidden="1">'2017 budget'!$F$143</definedName>
    <definedName name="QB_ROW_334260" localSheetId="0" hidden="1">'2017 budget'!$G$89</definedName>
    <definedName name="QB_ROW_335260" localSheetId="0" hidden="1">'2017 budget'!$G$124</definedName>
    <definedName name="QB_ROW_342250" localSheetId="0" hidden="1">'2017 budget'!$F$47</definedName>
    <definedName name="QB_ROW_345260" localSheetId="0" hidden="1">'2017 budget'!$G$88</definedName>
    <definedName name="QB_ROW_346260" localSheetId="0" hidden="1">'2017 budget'!$G$99</definedName>
    <definedName name="QB_ROW_348260" localSheetId="0" hidden="1">'2017 budget'!$G$116</definedName>
    <definedName name="QB_ROW_349260" localSheetId="0" hidden="1">'2017 budget'!$G$126</definedName>
    <definedName name="QB_ROW_350260" localSheetId="0" hidden="1">'2017 budget'!#REF!</definedName>
    <definedName name="QB_ROW_351260" localSheetId="0" hidden="1">'2017 budget'!#REF!</definedName>
    <definedName name="QB_ROW_352260" localSheetId="0" hidden="1">'2017 budget'!$G$127</definedName>
    <definedName name="QB_ROW_356250" localSheetId="0" hidden="1">'2017 budget'!$F$63</definedName>
    <definedName name="QB_ROW_359250" localSheetId="0" hidden="1">'2017 budget'!$F$35</definedName>
    <definedName name="QB_ROW_361260" localSheetId="0" hidden="1">'2017 budget'!$G$123</definedName>
    <definedName name="QB_ROW_363040" localSheetId="0" hidden="1">'2017 budget'!$E$4</definedName>
    <definedName name="QB_ROW_363340" localSheetId="0" hidden="1">'2017 budget'!$E$8</definedName>
    <definedName name="QB_ROW_365250" localSheetId="0" hidden="1">'2017 budget'!$F$73</definedName>
    <definedName name="QB_ROW_366260" localSheetId="0" hidden="1">'2017 budget'!$G$122</definedName>
    <definedName name="QB_ROW_372230" localSheetId="0" hidden="1">'2017 budget'!$D$148</definedName>
    <definedName name="QB_ROW_37250" localSheetId="0" hidden="1">'2017 budget'!$F$64</definedName>
    <definedName name="QB_ROW_373230" localSheetId="0" hidden="1">'2017 budget'!$D$154</definedName>
    <definedName name="QB_ROW_375260" localSheetId="0" hidden="1">'2017 budget'!$G$95</definedName>
    <definedName name="QB_ROW_376260" localSheetId="0" hidden="1">'2017 budget'!$G$121</definedName>
    <definedName name="QB_ROW_377250" localSheetId="0" hidden="1">'2017 budget'!$F$34</definedName>
    <definedName name="QB_ROW_380260" localSheetId="0" hidden="1">'2017 budget'!$G$120</definedName>
    <definedName name="QB_ROW_386250" localSheetId="0" hidden="1">'2017 budget'!$F$33</definedName>
    <definedName name="QB_ROW_387250" localSheetId="0" hidden="1">'2017 budget'!$F$26</definedName>
    <definedName name="QB_ROW_392250" localSheetId="0" hidden="1">'2017 budget'!$F$32</definedName>
    <definedName name="QB_ROW_393250" localSheetId="0" hidden="1">'2017 budget'!$F$25</definedName>
    <definedName name="QB_ROW_41250" localSheetId="0" hidden="1">'2017 budget'!$F$27</definedName>
    <definedName name="QB_ROW_42250" localSheetId="0" hidden="1">'2017 budget'!$F$74</definedName>
    <definedName name="QB_ROW_44250" localSheetId="0" hidden="1">'2017 budget'!$F$75</definedName>
    <definedName name="QB_ROW_46250" localSheetId="0" hidden="1">'2017 budget'!$F$78</definedName>
    <definedName name="QB_ROW_47050" localSheetId="0" hidden="1">'2017 budget'!$F$79</definedName>
    <definedName name="QB_ROW_47350" localSheetId="0" hidden="1">'2017 budget'!$F$85</definedName>
    <definedName name="QB_ROW_49260" localSheetId="0" hidden="1">'2017 budget'!$G$81</definedName>
    <definedName name="QB_ROW_50260" localSheetId="0" hidden="1">'2017 budget'!$G$80</definedName>
    <definedName name="QB_ROW_51260" localSheetId="0" hidden="1">'2017 budget'!$G$84</definedName>
    <definedName name="QB_ROW_52260" localSheetId="0" hidden="1">'2017 budget'!$G$82</definedName>
    <definedName name="QB_ROW_53050" localSheetId="0" hidden="1">'2017 budget'!$F$86</definedName>
    <definedName name="QB_ROW_53350" localSheetId="0" hidden="1">'2017 budget'!$F$90</definedName>
    <definedName name="QB_ROW_56250" localSheetId="0" hidden="1">'2017 budget'!$F$91</definedName>
    <definedName name="QB_ROW_57250" localSheetId="0" hidden="1">'2017 budget'!$F$92</definedName>
    <definedName name="QB_ROW_58050" localSheetId="0" hidden="1">'2017 budget'!$F$94</definedName>
    <definedName name="QB_ROW_58350" localSheetId="0" hidden="1">'2017 budget'!$F$101</definedName>
    <definedName name="QB_ROW_59250" localSheetId="0" hidden="1">'2017 budget'!$F$102</definedName>
    <definedName name="QB_ROW_60050" localSheetId="0" hidden="1">'2017 budget'!$F$103</definedName>
    <definedName name="QB_ROW_60350" localSheetId="0" hidden="1">'2017 budget'!$F$108</definedName>
    <definedName name="QB_ROW_61260" localSheetId="0" hidden="1">'2017 budget'!$G$106</definedName>
    <definedName name="QB_ROW_62260" localSheetId="0" hidden="1">'2017 budget'!$G$104</definedName>
    <definedName name="QB_ROW_63260" localSheetId="0" hidden="1">'2017 budget'!$G$105</definedName>
    <definedName name="QB_ROW_64260" localSheetId="0" hidden="1">'2017 budget'!$G$107</definedName>
    <definedName name="QB_ROW_65250" localSheetId="0" hidden="1">'2017 budget'!$F$109</definedName>
    <definedName name="QB_ROW_66250" localSheetId="0" hidden="1">'2017 budget'!$F$111</definedName>
    <definedName name="QB_ROW_70250" localSheetId="0" hidden="1">'2017 budget'!$F$113</definedName>
    <definedName name="QB_ROW_71050" localSheetId="0" hidden="1">'2017 budget'!$F$114</definedName>
    <definedName name="QB_ROW_71350" localSheetId="0" hidden="1">'2017 budget'!$F$118</definedName>
    <definedName name="QB_ROW_72050" localSheetId="0" hidden="1">'2017 budget'!$F$119</definedName>
    <definedName name="QB_ROW_72350" localSheetId="0" hidden="1">'2017 budget'!$F$134</definedName>
    <definedName name="QB_ROW_73260" localSheetId="0" hidden="1">'2017 budget'!$G$125</definedName>
    <definedName name="QB_ROW_75260" localSheetId="0" hidden="1">'2017 budget'!$G$132</definedName>
    <definedName name="QB_ROW_76260" localSheetId="0" hidden="1">'2017 budget'!$G$133</definedName>
    <definedName name="QB_ROW_79260" localSheetId="0" hidden="1">'2017 budget'!$G$115</definedName>
    <definedName name="QB_ROW_80250" localSheetId="0" hidden="1">'2017 budget'!$F$110</definedName>
    <definedName name="QB_ROW_82040" localSheetId="0" hidden="1">'2017 budget'!$E$72</definedName>
    <definedName name="QB_ROW_82340" localSheetId="0" hidden="1">'2017 budget'!$E$135</definedName>
    <definedName name="QB_ROW_86321" localSheetId="0" hidden="1">'2017 budget'!$C$70</definedName>
    <definedName name="QBCANSUPPORTUPDATE" localSheetId="0">TRUE</definedName>
    <definedName name="QBCOMPANYFILENAME" localSheetId="0">"Q:\Law Center.QBW"</definedName>
    <definedName name="QBENDDATE" localSheetId="0">20160731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"7607d899868f496e9a786cdcf8271081"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7</definedName>
    <definedName name="QBSTARTDATE" localSheetId="0">20160701</definedName>
  </definedNames>
  <calcPr calcId="125725"/>
</workbook>
</file>

<file path=xl/calcChain.xml><?xml version="1.0" encoding="utf-8"?>
<calcChain xmlns="http://schemas.openxmlformats.org/spreadsheetml/2006/main">
  <c r="H102" i="1"/>
  <c r="N102" s="1"/>
  <c r="F18" i="2"/>
  <c r="N59" i="1"/>
  <c r="N5"/>
  <c r="N6"/>
  <c r="N7"/>
  <c r="N10"/>
  <c r="N11"/>
  <c r="N12"/>
  <c r="N16"/>
  <c r="N17"/>
  <c r="N18"/>
  <c r="N19"/>
  <c r="N21"/>
  <c r="N22"/>
  <c r="N25"/>
  <c r="N26"/>
  <c r="N28"/>
  <c r="N31"/>
  <c r="N32"/>
  <c r="N33"/>
  <c r="N34"/>
  <c r="N35"/>
  <c r="N36"/>
  <c r="N37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60"/>
  <c r="N63"/>
  <c r="N97"/>
  <c r="F32" i="2"/>
  <c r="F76"/>
  <c r="F70"/>
  <c r="F56"/>
  <c r="F44"/>
  <c r="F38"/>
  <c r="F12"/>
  <c r="N111" i="1"/>
  <c r="L118"/>
  <c r="J118"/>
  <c r="H118"/>
  <c r="H108"/>
  <c r="F26" i="2"/>
  <c r="F6"/>
  <c r="N130" i="1"/>
  <c r="N129"/>
  <c r="N64"/>
  <c r="N65"/>
  <c r="N66"/>
  <c r="N68"/>
  <c r="N73"/>
  <c r="N74"/>
  <c r="N75"/>
  <c r="N76"/>
  <c r="N77"/>
  <c r="N78"/>
  <c r="N79"/>
  <c r="N80"/>
  <c r="N81"/>
  <c r="N82"/>
  <c r="N83"/>
  <c r="N84"/>
  <c r="N87"/>
  <c r="N88"/>
  <c r="N89"/>
  <c r="N91"/>
  <c r="N92"/>
  <c r="N93"/>
  <c r="N95"/>
  <c r="N96"/>
  <c r="N98"/>
  <c r="N99"/>
  <c r="N100"/>
  <c r="N104"/>
  <c r="N105"/>
  <c r="N106"/>
  <c r="N107"/>
  <c r="N109"/>
  <c r="N110"/>
  <c r="N112"/>
  <c r="N113"/>
  <c r="N115"/>
  <c r="N116"/>
  <c r="N117"/>
  <c r="N120"/>
  <c r="N121"/>
  <c r="N122"/>
  <c r="N123"/>
  <c r="N124"/>
  <c r="N125"/>
  <c r="N126"/>
  <c r="N127"/>
  <c r="N128"/>
  <c r="N131"/>
  <c r="N132"/>
  <c r="N133"/>
  <c r="N148"/>
  <c r="N149"/>
  <c r="N150"/>
  <c r="N151"/>
  <c r="N153"/>
  <c r="N154"/>
  <c r="N155"/>
  <c r="J7" i="2" l="1"/>
  <c r="H61" i="1"/>
  <c r="N20"/>
  <c r="N13"/>
  <c r="H27"/>
  <c r="N27" s="1"/>
  <c r="J8" i="2" l="1"/>
  <c r="H143" i="1" s="1"/>
  <c r="N143" s="1"/>
  <c r="F73" i="2"/>
  <c r="F74" s="1"/>
  <c r="F67"/>
  <c r="F53"/>
  <c r="F54" s="1"/>
  <c r="F59"/>
  <c r="F47"/>
  <c r="F48" s="1"/>
  <c r="F51" s="1"/>
  <c r="E47"/>
  <c r="F35"/>
  <c r="F36" s="1"/>
  <c r="F39" s="1"/>
  <c r="F29"/>
  <c r="F31" s="1"/>
  <c r="F23"/>
  <c r="F24" s="1"/>
  <c r="F15"/>
  <c r="F9"/>
  <c r="F10" s="1"/>
  <c r="F3"/>
  <c r="J2" s="1"/>
  <c r="H137" i="1" s="1"/>
  <c r="N137" s="1"/>
  <c r="E73" i="2"/>
  <c r="E74" s="1"/>
  <c r="E77" s="1"/>
  <c r="E67"/>
  <c r="F81"/>
  <c r="E81"/>
  <c r="E54"/>
  <c r="E57" s="1"/>
  <c r="E61"/>
  <c r="E63" s="1"/>
  <c r="E45"/>
  <c r="F43"/>
  <c r="F42"/>
  <c r="E39"/>
  <c r="E31"/>
  <c r="E33" s="1"/>
  <c r="E24"/>
  <c r="E27" s="1"/>
  <c r="E19"/>
  <c r="E13"/>
  <c r="E7"/>
  <c r="H141" i="1"/>
  <c r="N141" s="1"/>
  <c r="H156"/>
  <c r="H152"/>
  <c r="H134"/>
  <c r="H101"/>
  <c r="H90"/>
  <c r="H85"/>
  <c r="H67"/>
  <c r="H29"/>
  <c r="H20"/>
  <c r="H23" s="1"/>
  <c r="H13"/>
  <c r="H8"/>
  <c r="L156"/>
  <c r="N156" s="1"/>
  <c r="J156"/>
  <c r="L152"/>
  <c r="N152" s="1"/>
  <c r="J152"/>
  <c r="L144"/>
  <c r="J144"/>
  <c r="L134"/>
  <c r="J134"/>
  <c r="L108"/>
  <c r="J108"/>
  <c r="L101"/>
  <c r="J101"/>
  <c r="L90"/>
  <c r="J90"/>
  <c r="L85"/>
  <c r="J85"/>
  <c r="L67"/>
  <c r="J67"/>
  <c r="L61"/>
  <c r="N61" s="1"/>
  <c r="J61"/>
  <c r="L29"/>
  <c r="J29"/>
  <c r="L20"/>
  <c r="L23" s="1"/>
  <c r="J20"/>
  <c r="J23" s="1"/>
  <c r="L13"/>
  <c r="J13"/>
  <c r="L8"/>
  <c r="J8"/>
  <c r="N29" l="1"/>
  <c r="N23"/>
  <c r="N67"/>
  <c r="L135"/>
  <c r="N90"/>
  <c r="N8"/>
  <c r="N101"/>
  <c r="N108"/>
  <c r="N85"/>
  <c r="N118"/>
  <c r="N134"/>
  <c r="J157"/>
  <c r="F4" i="2"/>
  <c r="J4"/>
  <c r="H139" i="1" s="1"/>
  <c r="N139" s="1"/>
  <c r="F5" i="2"/>
  <c r="F7" s="1"/>
  <c r="J3"/>
  <c r="H138" i="1" s="1"/>
  <c r="N138" s="1"/>
  <c r="F61" i="2"/>
  <c r="F30"/>
  <c r="F33" s="1"/>
  <c r="F25"/>
  <c r="F45"/>
  <c r="E20"/>
  <c r="F57"/>
  <c r="F27"/>
  <c r="F60"/>
  <c r="F63" s="1"/>
  <c r="F77"/>
  <c r="F11"/>
  <c r="E48"/>
  <c r="E51" s="1"/>
  <c r="E64" s="1"/>
  <c r="F16"/>
  <c r="F19" s="1"/>
  <c r="F68"/>
  <c r="F71" s="1"/>
  <c r="E68"/>
  <c r="E71" s="1"/>
  <c r="E82" s="1"/>
  <c r="L157" i="1"/>
  <c r="H157"/>
  <c r="H135"/>
  <c r="H69"/>
  <c r="J69"/>
  <c r="L69"/>
  <c r="J135"/>
  <c r="N135" l="1"/>
  <c r="F82" i="2"/>
  <c r="N69" i="1"/>
  <c r="N157"/>
  <c r="F13" i="2"/>
  <c r="F20" s="1"/>
  <c r="J6"/>
  <c r="H142" i="1" s="1"/>
  <c r="N142" s="1"/>
  <c r="J5" i="2"/>
  <c r="H140" i="1" s="1"/>
  <c r="N140" s="1"/>
  <c r="F64" i="2"/>
  <c r="E84"/>
  <c r="E87" s="1"/>
  <c r="L145" i="1"/>
  <c r="L158" s="1"/>
  <c r="J145"/>
  <c r="J158" s="1"/>
  <c r="H144" l="1"/>
  <c r="J9" i="2"/>
  <c r="F84"/>
  <c r="F87" s="1"/>
  <c r="H145" i="1" l="1"/>
  <c r="H158" s="1"/>
  <c r="N144"/>
  <c r="N145" l="1"/>
  <c r="N158" s="1"/>
</calcChain>
</file>

<file path=xl/comments1.xml><?xml version="1.0" encoding="utf-8"?>
<comments xmlns="http://schemas.openxmlformats.org/spreadsheetml/2006/main">
  <authors>
    <author>Eileen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$5,200 UNUM
$7,500 ER Copay</t>
        </r>
      </text>
    </comment>
  </commentList>
</comments>
</file>

<file path=xl/sharedStrings.xml><?xml version="1.0" encoding="utf-8"?>
<sst xmlns="http://schemas.openxmlformats.org/spreadsheetml/2006/main" count="285" uniqueCount="233">
  <si>
    <t>Income</t>
  </si>
  <si>
    <t>IOLTA</t>
  </si>
  <si>
    <t>Corporate/Community</t>
  </si>
  <si>
    <t>Business &amp; Prof Orgs</t>
  </si>
  <si>
    <t>Church</t>
  </si>
  <si>
    <t>Civic Organizations</t>
  </si>
  <si>
    <t>Total Corporate/Community</t>
  </si>
  <si>
    <t>Events</t>
  </si>
  <si>
    <t>GALA</t>
  </si>
  <si>
    <t>Auction</t>
  </si>
  <si>
    <t>Donations</t>
  </si>
  <si>
    <t>Sponsorships</t>
  </si>
  <si>
    <t>Tickets</t>
  </si>
  <si>
    <t>Total GALA</t>
  </si>
  <si>
    <t>Point of Entry</t>
  </si>
  <si>
    <t>Total Events</t>
  </si>
  <si>
    <t>Fees</t>
  </si>
  <si>
    <t>Government Appeals</t>
  </si>
  <si>
    <t>Prof Development/Trainings</t>
  </si>
  <si>
    <t>Government</t>
  </si>
  <si>
    <t>Mediation</t>
  </si>
  <si>
    <t>Total Fees</t>
  </si>
  <si>
    <t>Grants</t>
  </si>
  <si>
    <t>Evergreen</t>
  </si>
  <si>
    <t>OCPD Law Line Grant</t>
  </si>
  <si>
    <t>Ct Community Fnd (Waterbury)</t>
  </si>
  <si>
    <t>GALTraining State of Ct Grant</t>
  </si>
  <si>
    <t>Am. Sav. Fnd.</t>
  </si>
  <si>
    <t>American Savings Fdn Summer</t>
  </si>
  <si>
    <t>Charles Nelson Robinson Fund</t>
  </si>
  <si>
    <t>Ensworth</t>
  </si>
  <si>
    <t>Fisher Foundation</t>
  </si>
  <si>
    <t>Grants - Other</t>
  </si>
  <si>
    <t>Fund for Greater Hartford</t>
  </si>
  <si>
    <t>Long Foundation</t>
  </si>
  <si>
    <t>ION Bank</t>
  </si>
  <si>
    <t>New Alliance Bank Foundation</t>
  </si>
  <si>
    <t>SBM</t>
  </si>
  <si>
    <t>United Way</t>
  </si>
  <si>
    <t>Total Grants</t>
  </si>
  <si>
    <t>Individual</t>
  </si>
  <si>
    <t>Board Appeal</t>
  </si>
  <si>
    <t>U. Way</t>
  </si>
  <si>
    <t>Total Individual</t>
  </si>
  <si>
    <t>St of CT Legs. Appropriation</t>
  </si>
  <si>
    <t>Total Income</t>
  </si>
  <si>
    <t>Expense</t>
  </si>
  <si>
    <t>NON-PERSONNEL</t>
  </si>
  <si>
    <t>Client Evaluations</t>
  </si>
  <si>
    <t>Payroll Processing Fees</t>
  </si>
  <si>
    <t>Audit</t>
  </si>
  <si>
    <t>Bank Fees</t>
  </si>
  <si>
    <t>Board and Committee Mtgs</t>
  </si>
  <si>
    <t>Case Related Fees</t>
  </si>
  <si>
    <t>Computers</t>
  </si>
  <si>
    <t>Additional Equipment</t>
  </si>
  <si>
    <t>Consultant</t>
  </si>
  <si>
    <t>Internet</t>
  </si>
  <si>
    <t>Printer/Copier</t>
  </si>
  <si>
    <t>Website</t>
  </si>
  <si>
    <t>Total Computers</t>
  </si>
  <si>
    <t>Consulting</t>
  </si>
  <si>
    <t>403(b) Fee</t>
  </si>
  <si>
    <t>Financial Manager</t>
  </si>
  <si>
    <t>Other</t>
  </si>
  <si>
    <t>Total Consulting</t>
  </si>
  <si>
    <t>Dues &amp; Fees</t>
  </si>
  <si>
    <t>ED Contingency Fund</t>
  </si>
  <si>
    <t>Electricity/Gas</t>
  </si>
  <si>
    <t>Fundraising &amp; Marketing</t>
  </si>
  <si>
    <t>Cultivation</t>
  </si>
  <si>
    <t>Events-Other</t>
  </si>
  <si>
    <t>Misc.</t>
  </si>
  <si>
    <t>Postage Expense</t>
  </si>
  <si>
    <t>Printing</t>
  </si>
  <si>
    <t>Total Fundraising &amp; Marketing</t>
  </si>
  <si>
    <t>General Supplies</t>
  </si>
  <si>
    <t>Insurance</t>
  </si>
  <si>
    <t>Management Liablility</t>
  </si>
  <si>
    <t>Office Liability</t>
  </si>
  <si>
    <t>Professional Liability</t>
  </si>
  <si>
    <t>Worker's Comp.</t>
  </si>
  <si>
    <t>Total Insurance</t>
  </si>
  <si>
    <t>Library &amp; Subscriptions</t>
  </si>
  <si>
    <t>Mileage &amp; Parking Reimbursement</t>
  </si>
  <si>
    <t>Occupancy</t>
  </si>
  <si>
    <t>Postage</t>
  </si>
  <si>
    <t>Repairs</t>
  </si>
  <si>
    <t>Education</t>
  </si>
  <si>
    <t>Conferences/Staff</t>
  </si>
  <si>
    <t>Train Other Attys</t>
  </si>
  <si>
    <t>Bar Association Meetings</t>
  </si>
  <si>
    <t>Total Education</t>
  </si>
  <si>
    <t>Telephone</t>
  </si>
  <si>
    <t>Cell SA - KP</t>
  </si>
  <si>
    <t>Cell SA - MR</t>
  </si>
  <si>
    <t>Cell DA - EG</t>
  </si>
  <si>
    <t>Cell SA - KB</t>
  </si>
  <si>
    <t>Cell DD -RR</t>
  </si>
  <si>
    <t>Cell ED - JRK</t>
  </si>
  <si>
    <t>Cell MH NS</t>
  </si>
  <si>
    <t>Cell SA - AR</t>
  </si>
  <si>
    <t>Cell SA - DC</t>
  </si>
  <si>
    <t>Cell SA - AL</t>
  </si>
  <si>
    <t>Cell DD - RH</t>
  </si>
  <si>
    <t>Office</t>
  </si>
  <si>
    <t>Total Telephone</t>
  </si>
  <si>
    <t>Total NON-PERSONNEL</t>
  </si>
  <si>
    <t>PERSONNEL</t>
  </si>
  <si>
    <t>Directors</t>
  </si>
  <si>
    <t>Professional Staff</t>
  </si>
  <si>
    <t>Administrative Staff</t>
  </si>
  <si>
    <t>Payroll Taxes</t>
  </si>
  <si>
    <t>Health,Dental, Life Insurance</t>
  </si>
  <si>
    <t>403(B) Contribution</t>
  </si>
  <si>
    <t>Discretionary Compensation</t>
  </si>
  <si>
    <t>Total PERSONNEL</t>
  </si>
  <si>
    <t>Total Expense</t>
  </si>
  <si>
    <t>Other Income/Expense</t>
  </si>
  <si>
    <t>Other Income</t>
  </si>
  <si>
    <t>Rebuilding Families Income</t>
  </si>
  <si>
    <t>Asset Appreciation (Depre)</t>
  </si>
  <si>
    <t>Dividend Income</t>
  </si>
  <si>
    <t>Interest Income</t>
  </si>
  <si>
    <t>Total Other Income</t>
  </si>
  <si>
    <t>Other Expense</t>
  </si>
  <si>
    <t>Rebuilding Families Expenses</t>
  </si>
  <si>
    <t>Management fees</t>
  </si>
  <si>
    <t>Total Other Expense</t>
  </si>
  <si>
    <t>Net Other Income</t>
  </si>
  <si>
    <t>Net Income</t>
  </si>
  <si>
    <t>2016 Budget</t>
  </si>
  <si>
    <t>2017 Draft Budget</t>
  </si>
  <si>
    <t>JRK Executive Director</t>
  </si>
  <si>
    <t>COLA</t>
  </si>
  <si>
    <t>Salary</t>
  </si>
  <si>
    <t xml:space="preserve">Professional </t>
  </si>
  <si>
    <t>FICA/SUTA/FUTA</t>
  </si>
  <si>
    <t>Admin</t>
  </si>
  <si>
    <t>403b Contribution</t>
  </si>
  <si>
    <t>Payroll tax</t>
  </si>
  <si>
    <t>Health/Dental/Life Insurance (Net)</t>
  </si>
  <si>
    <t>Total JRK Executive Director</t>
  </si>
  <si>
    <t>Benefits</t>
  </si>
  <si>
    <t>RH - Deputy Director</t>
  </si>
  <si>
    <t>Disc Comp</t>
  </si>
  <si>
    <t>403B</t>
  </si>
  <si>
    <t>Total RH - Deputy Director</t>
  </si>
  <si>
    <t>RR Development Director</t>
  </si>
  <si>
    <t>Total Development Director</t>
  </si>
  <si>
    <t>Total Directors</t>
  </si>
  <si>
    <t>1/2007</t>
  </si>
  <si>
    <t>AR- Staff Attorney</t>
  </si>
  <si>
    <t>Total AR - Staff Attorney</t>
  </si>
  <si>
    <t>AL - Staff Attorney</t>
  </si>
  <si>
    <t>Total AL - Staff Attorney</t>
  </si>
  <si>
    <t>8/2010</t>
  </si>
  <si>
    <t>DC Staff Attorney - DC</t>
  </si>
  <si>
    <t>Total Staff Attorney - DC</t>
  </si>
  <si>
    <t>10/2012</t>
  </si>
  <si>
    <t>KB - Staff Attorney KB</t>
  </si>
  <si>
    <t>Total Staff Attorney -KB</t>
  </si>
  <si>
    <t>MR - Staff Attorney Norwalk</t>
  </si>
  <si>
    <t>Total Staff Attorney - MR</t>
  </si>
  <si>
    <t>NS Mental Health Professional</t>
  </si>
  <si>
    <t>FICA/FUTA/SUTA</t>
  </si>
  <si>
    <t>Total NS Mental Health Professional</t>
  </si>
  <si>
    <t>Total Staff Attorney - KP</t>
  </si>
  <si>
    <t>Total Professional Staff</t>
  </si>
  <si>
    <t>Support Staff</t>
  </si>
  <si>
    <t>BG - Legal Transcriptionist</t>
  </si>
  <si>
    <t>Total BG Legal Transcriptionist</t>
  </si>
  <si>
    <t>EG Development Staff</t>
  </si>
  <si>
    <t>Total SS Development Staff</t>
  </si>
  <si>
    <t>SB Summer Intern</t>
  </si>
  <si>
    <t>Total SB Summer Intern</t>
  </si>
  <si>
    <t>Total Support Staff</t>
  </si>
  <si>
    <t>Total Personnel</t>
  </si>
  <si>
    <t>2017 w 2% COLA</t>
  </si>
  <si>
    <t>FY17 $28.44/hr x 5 hours per week</t>
  </si>
  <si>
    <t>FY17assumed level funding</t>
  </si>
  <si>
    <t>KP Staff Attorney NB &amp; Hartford</t>
  </si>
  <si>
    <t>FY17 2% increase (from $17.85 to $18.21/hr)</t>
  </si>
  <si>
    <t>FY17 2% increase (from $15.69 /hr to $16.00)</t>
  </si>
  <si>
    <t>Events Other</t>
  </si>
  <si>
    <t>JRK is checking with RR</t>
  </si>
  <si>
    <t>Notes</t>
  </si>
  <si>
    <t>Bissell</t>
  </si>
  <si>
    <t>Individual Contributions</t>
  </si>
  <si>
    <t>combine Misc and Ind to one account</t>
  </si>
  <si>
    <t>Misc</t>
  </si>
  <si>
    <t>30 children (ave 30 per month in 2016) x $750 x 12</t>
  </si>
  <si>
    <t>JRK new lease</t>
  </si>
  <si>
    <t>Cell SA - SB</t>
  </si>
  <si>
    <t>Cell SA - PP</t>
  </si>
  <si>
    <t>2 Less FTE's in FY17 budget</t>
  </si>
  <si>
    <t>FY17 2% COLA.  FY16 budget included 1 furlough day &amp; additional $5,000 JRK decrease</t>
  </si>
  <si>
    <t>FY17 2% COLA.  FY16 budget included 1 furlough day. FY17 includes 2 less Attny's</t>
  </si>
  <si>
    <t xml:space="preserve">FY17 2% COLA. </t>
  </si>
  <si>
    <t>Actual FY16 budget for Personnel is $892,862 (2 less employees)</t>
  </si>
  <si>
    <t>FY17 family plan</t>
  </si>
  <si>
    <t>Family plan</t>
  </si>
  <si>
    <t>1 new Ind, 2 new family, 2 switched from Ind to Family/+ spouse</t>
  </si>
  <si>
    <t>Community Chest</t>
  </si>
  <si>
    <t>Community FDN - Greater N Britain</t>
  </si>
  <si>
    <t>AAML</t>
  </si>
  <si>
    <t>Day Pitney</t>
  </si>
  <si>
    <t>Near &amp; Far</t>
  </si>
  <si>
    <t>Community Fdn -Eastern Ct</t>
  </si>
  <si>
    <t>Knox Foundation</t>
  </si>
  <si>
    <t>United Way Middletown</t>
  </si>
  <si>
    <t>Farmington Bank Community Fdn</t>
  </si>
  <si>
    <t>Per JRK 9/8/16 email</t>
  </si>
  <si>
    <t>New 403b consultant per JRK 9/23/16 email</t>
  </si>
  <si>
    <t>current rate: 3842.51 * 3 months and new rate 3047.92*9</t>
  </si>
  <si>
    <t>per 10/6 JRK email (they are changing their funding focus)</t>
  </si>
  <si>
    <t>Jan - Sept 16 Actual</t>
  </si>
  <si>
    <t>7500 extra co-pay + 5200 UNUM</t>
  </si>
  <si>
    <t>Term employee and spouse 10/1/16</t>
  </si>
  <si>
    <t>CBF Judicial Branch Grants</t>
  </si>
  <si>
    <t>CBF Court Filing Fees</t>
  </si>
  <si>
    <t>Ct Bar Foundation</t>
  </si>
  <si>
    <t>Total Ct Bar Foundation</t>
  </si>
  <si>
    <t>Walmart Foundation</t>
  </si>
  <si>
    <t>$ Change FY16/17 Budgets</t>
  </si>
  <si>
    <t>Foundation for Greater New Haven</t>
  </si>
  <si>
    <t>Truancy Grants All</t>
  </si>
  <si>
    <t>FY17 - waiting to hear back 10/28/16 $25k</t>
  </si>
  <si>
    <t>Board will look at FY17 net lower by $31,500 compared to FY16</t>
  </si>
  <si>
    <t xml:space="preserve">2 trainings in 2017 </t>
  </si>
  <si>
    <t>Carse Foundation</t>
  </si>
  <si>
    <t>Per RR 10/11/16 email, we did not receive this grant</t>
  </si>
  <si>
    <t>Per 12/7/16 phone call - grant denied because of our strong financial position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</si>
</sst>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&quot;$&quot;#,##0"/>
    <numFmt numFmtId="166" formatCode="\$#,##0.00"/>
    <numFmt numFmtId="167" formatCode="\$#,##0"/>
    <numFmt numFmtId="168" formatCode="&quot;$&quot;#,##0.00"/>
  </numFmts>
  <fonts count="1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rgb="FFFF66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/>
      <top style="dotted">
        <color rgb="FFD8D8D8"/>
      </top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 style="thin">
        <color rgb="FF000000"/>
      </bottom>
      <diagonal/>
    </border>
    <border>
      <left style="dotted">
        <color rgb="FFD8D8D8"/>
      </left>
      <right style="dotted">
        <color rgb="FFD8D8D8"/>
      </right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/>
      <diagonal/>
    </border>
    <border>
      <left/>
      <right/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 style="thin">
        <color rgb="FF000000"/>
      </top>
      <bottom style="thin">
        <color rgb="FF000000"/>
      </bottom>
      <diagonal/>
    </border>
    <border>
      <left style="dotted">
        <color rgb="FFD8D8D8"/>
      </left>
      <right style="dotted">
        <color rgb="FFD8D8D8"/>
      </right>
      <top/>
      <bottom/>
      <diagonal/>
    </border>
    <border>
      <left style="dotted">
        <color rgb="FFD8D8D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2" borderId="7" xfId="0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horizontal="center"/>
    </xf>
    <xf numFmtId="9" fontId="6" fillId="2" borderId="7" xfId="0" applyNumberFormat="1" applyFont="1" applyFill="1" applyBorder="1" applyAlignment="1">
      <alignment horizontal="left"/>
    </xf>
    <xf numFmtId="9" fontId="7" fillId="2" borderId="7" xfId="0" applyNumberFormat="1" applyFont="1" applyFill="1" applyBorder="1" applyAlignment="1">
      <alignment horizontal="left"/>
    </xf>
    <xf numFmtId="166" fontId="0" fillId="2" borderId="7" xfId="0" applyNumberFormat="1" applyFont="1" applyFill="1" applyBorder="1" applyAlignment="1">
      <alignment vertical="center"/>
    </xf>
    <xf numFmtId="0" fontId="1" fillId="2" borderId="7" xfId="0" applyFont="1" applyFill="1" applyBorder="1"/>
    <xf numFmtId="167" fontId="2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vertical="center"/>
    </xf>
    <xf numFmtId="168" fontId="0" fillId="2" borderId="7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9" fontId="0" fillId="2" borderId="7" xfId="0" applyNumberFormat="1" applyFont="1" applyFill="1" applyBorder="1" applyAlignment="1">
      <alignment vertical="center"/>
    </xf>
    <xf numFmtId="165" fontId="8" fillId="0" borderId="7" xfId="0" applyNumberFormat="1" applyFont="1" applyBorder="1" applyAlignment="1">
      <alignment horizontal="center" wrapText="1"/>
    </xf>
    <xf numFmtId="167" fontId="2" fillId="2" borderId="7" xfId="0" applyNumberFormat="1" applyFont="1" applyFill="1" applyBorder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0" fontId="0" fillId="2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wrapText="1"/>
    </xf>
    <xf numFmtId="0" fontId="2" fillId="2" borderId="7" xfId="0" applyFont="1" applyFill="1" applyBorder="1"/>
    <xf numFmtId="0" fontId="1" fillId="0" borderId="7" xfId="0" applyFont="1" applyBorder="1"/>
    <xf numFmtId="167" fontId="2" fillId="0" borderId="11" xfId="0" applyNumberFormat="1" applyFont="1" applyBorder="1" applyAlignment="1">
      <alignment horizontal="center"/>
    </xf>
    <xf numFmtId="167" fontId="2" fillId="2" borderId="14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167" fontId="0" fillId="0" borderId="0" xfId="0" applyNumberFormat="1"/>
    <xf numFmtId="165" fontId="0" fillId="0" borderId="16" xfId="0" applyNumberFormat="1" applyBorder="1"/>
    <xf numFmtId="165" fontId="0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4" fontId="1" fillId="2" borderId="7" xfId="0" applyNumberFormat="1" applyFont="1" applyFill="1" applyBorder="1"/>
    <xf numFmtId="0" fontId="1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3" fontId="2" fillId="0" borderId="0" xfId="0" applyNumberFormat="1" applyFont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/>
    <xf numFmtId="0" fontId="11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Fill="1"/>
    <xf numFmtId="165" fontId="4" fillId="0" borderId="7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2" fillId="0" borderId="0" xfId="0" applyFont="1"/>
    <xf numFmtId="165" fontId="0" fillId="2" borderId="7" xfId="0" applyNumberFormat="1" applyFill="1" applyBorder="1" applyAlignment="1">
      <alignment vertical="center"/>
    </xf>
    <xf numFmtId="168" fontId="0" fillId="0" borderId="0" xfId="0" applyNumberFormat="1"/>
    <xf numFmtId="3" fontId="1" fillId="0" borderId="6" xfId="0" applyNumberFormat="1" applyFont="1" applyFill="1" applyBorder="1"/>
    <xf numFmtId="3" fontId="2" fillId="3" borderId="0" xfId="0" applyNumberFormat="1" applyFont="1" applyFill="1"/>
    <xf numFmtId="0" fontId="1" fillId="2" borderId="8" xfId="0" applyFont="1" applyFill="1" applyBorder="1"/>
    <xf numFmtId="0" fontId="3" fillId="0" borderId="1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0" borderId="9" xfId="0" applyFont="1" applyBorder="1" applyAlignment="1">
      <alignment wrapText="1"/>
    </xf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1"/>
  <sheetViews>
    <sheetView tabSelected="1" workbookViewId="0">
      <pane xSplit="7" ySplit="2" topLeftCell="H138" activePane="bottomRight" state="frozenSplit"/>
      <selection pane="topRight" activeCell="H1" sqref="H1"/>
      <selection pane="bottomLeft" activeCell="A3" sqref="A3"/>
      <selection pane="bottomRight" activeCell="H37" sqref="H37"/>
    </sheetView>
  </sheetViews>
  <sheetFormatPr defaultRowHeight="15"/>
  <cols>
    <col min="1" max="6" width="3" style="10" customWidth="1"/>
    <col min="7" max="7" width="26.7109375" style="10" customWidth="1"/>
    <col min="8" max="8" width="10.42578125" style="11" customWidth="1"/>
    <col min="9" max="9" width="2.28515625" style="11" customWidth="1"/>
    <col min="10" max="10" width="9.42578125" style="11" customWidth="1"/>
    <col min="11" max="11" width="2.28515625" style="11" customWidth="1"/>
    <col min="12" max="12" width="9.7109375" style="11" customWidth="1"/>
    <col min="13" max="13" width="2.28515625" style="11" customWidth="1"/>
    <col min="14" max="14" width="9.42578125" style="11" customWidth="1"/>
    <col min="15" max="15" width="77.85546875" bestFit="1" customWidth="1"/>
  </cols>
  <sheetData>
    <row r="1" spans="1:15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5" s="9" customFormat="1" ht="38.25" customHeight="1" thickTop="1" thickBot="1">
      <c r="A2" s="7"/>
      <c r="B2" s="7"/>
      <c r="C2" s="7"/>
      <c r="D2" s="7"/>
      <c r="E2" s="7"/>
      <c r="F2" s="7"/>
      <c r="G2" s="7"/>
      <c r="H2" s="75" t="s">
        <v>132</v>
      </c>
      <c r="I2" s="8"/>
      <c r="J2" s="75" t="s">
        <v>216</v>
      </c>
      <c r="K2" s="8"/>
      <c r="L2" s="75" t="s">
        <v>131</v>
      </c>
      <c r="M2" s="8"/>
      <c r="N2" s="75" t="s">
        <v>224</v>
      </c>
      <c r="O2" s="64" t="s">
        <v>186</v>
      </c>
    </row>
    <row r="3" spans="1:15" ht="15.75" thickTop="1">
      <c r="A3" s="1"/>
      <c r="B3" s="1"/>
      <c r="C3" s="1"/>
      <c r="D3" s="1" t="s">
        <v>0</v>
      </c>
      <c r="E3" s="1"/>
      <c r="F3" s="1"/>
      <c r="G3" s="1"/>
      <c r="H3" s="4"/>
      <c r="I3" s="5"/>
      <c r="J3" s="4"/>
      <c r="K3" s="5"/>
      <c r="L3" s="4"/>
      <c r="M3" s="5"/>
      <c r="N3" s="4"/>
    </row>
    <row r="4" spans="1:15">
      <c r="A4" s="1"/>
      <c r="B4" s="1"/>
      <c r="C4" s="1"/>
      <c r="D4" s="1"/>
      <c r="E4" s="1" t="s">
        <v>221</v>
      </c>
      <c r="F4" s="1"/>
      <c r="G4" s="1"/>
      <c r="H4" s="58"/>
      <c r="I4" s="58"/>
      <c r="J4" s="58"/>
      <c r="K4" s="58"/>
      <c r="L4" s="58"/>
      <c r="M4" s="58"/>
      <c r="N4" s="58"/>
    </row>
    <row r="5" spans="1:15">
      <c r="A5" s="1"/>
      <c r="B5" s="1"/>
      <c r="C5" s="1"/>
      <c r="D5" s="1"/>
      <c r="E5" s="1"/>
      <c r="F5" s="1" t="s">
        <v>1</v>
      </c>
      <c r="G5" s="1"/>
      <c r="H5" s="58">
        <v>28000</v>
      </c>
      <c r="I5" s="58"/>
      <c r="J5" s="58">
        <v>0</v>
      </c>
      <c r="K5" s="58"/>
      <c r="L5" s="58">
        <v>27909</v>
      </c>
      <c r="M5" s="58"/>
      <c r="N5" s="58">
        <f>H5-L5</f>
        <v>91</v>
      </c>
    </row>
    <row r="6" spans="1:15">
      <c r="A6" s="1"/>
      <c r="B6" s="1"/>
      <c r="C6" s="1"/>
      <c r="D6" s="1"/>
      <c r="E6" s="1"/>
      <c r="F6" s="1" t="s">
        <v>219</v>
      </c>
      <c r="G6" s="1"/>
      <c r="H6" s="58">
        <v>20000</v>
      </c>
      <c r="I6" s="58"/>
      <c r="J6" s="58">
        <v>9490</v>
      </c>
      <c r="K6" s="58"/>
      <c r="L6" s="58">
        <v>20610</v>
      </c>
      <c r="M6" s="58"/>
      <c r="N6" s="58">
        <f t="shared" ref="N6:N80" si="0">H6-L6</f>
        <v>-610</v>
      </c>
    </row>
    <row r="7" spans="1:15" ht="15.75" thickBot="1">
      <c r="A7" s="1"/>
      <c r="B7" s="1"/>
      <c r="C7" s="1"/>
      <c r="D7" s="1"/>
      <c r="E7" s="1"/>
      <c r="F7" s="1" t="s">
        <v>220</v>
      </c>
      <c r="G7" s="1"/>
      <c r="H7" s="59">
        <v>153267</v>
      </c>
      <c r="I7" s="58"/>
      <c r="J7" s="59">
        <v>0</v>
      </c>
      <c r="K7" s="58"/>
      <c r="L7" s="59">
        <v>137091</v>
      </c>
      <c r="M7" s="58"/>
      <c r="N7" s="59">
        <f t="shared" si="0"/>
        <v>16176</v>
      </c>
    </row>
    <row r="8" spans="1:15">
      <c r="A8" s="1"/>
      <c r="B8" s="1"/>
      <c r="C8" s="1"/>
      <c r="D8" s="1"/>
      <c r="E8" s="1" t="s">
        <v>222</v>
      </c>
      <c r="F8" s="1"/>
      <c r="G8" s="1"/>
      <c r="H8" s="58">
        <f>ROUND(SUM(H4:H7),5)</f>
        <v>201267</v>
      </c>
      <c r="I8" s="58"/>
      <c r="J8" s="58">
        <f>ROUND(SUM(J4:J7),5)</f>
        <v>9490</v>
      </c>
      <c r="K8" s="58"/>
      <c r="L8" s="58">
        <f>ROUND(SUM(L4:L7),5)</f>
        <v>185610</v>
      </c>
      <c r="M8" s="58"/>
      <c r="N8" s="58">
        <f t="shared" si="0"/>
        <v>15657</v>
      </c>
    </row>
    <row r="9" spans="1:15">
      <c r="A9" s="1"/>
      <c r="B9" s="1"/>
      <c r="C9" s="1"/>
      <c r="D9" s="1"/>
      <c r="E9" s="1" t="s">
        <v>2</v>
      </c>
      <c r="F9" s="1"/>
      <c r="G9" s="1"/>
      <c r="H9" s="58"/>
      <c r="I9" s="58"/>
      <c r="J9" s="58"/>
      <c r="K9" s="58"/>
      <c r="L9" s="58"/>
      <c r="M9" s="58"/>
      <c r="N9" s="58"/>
    </row>
    <row r="10" spans="1:15">
      <c r="A10" s="1"/>
      <c r="B10" s="1"/>
      <c r="C10" s="1"/>
      <c r="D10" s="1"/>
      <c r="E10" s="1"/>
      <c r="F10" s="1" t="s">
        <v>3</v>
      </c>
      <c r="G10" s="1"/>
      <c r="H10" s="58">
        <v>3000</v>
      </c>
      <c r="I10" s="58"/>
      <c r="J10" s="58">
        <v>0</v>
      </c>
      <c r="K10" s="58"/>
      <c r="L10" s="58">
        <v>3000</v>
      </c>
      <c r="M10" s="58"/>
      <c r="N10" s="58">
        <f t="shared" si="0"/>
        <v>0</v>
      </c>
    </row>
    <row r="11" spans="1:15">
      <c r="A11" s="1"/>
      <c r="B11" s="1"/>
      <c r="C11" s="1"/>
      <c r="D11" s="1"/>
      <c r="E11" s="1"/>
      <c r="F11" s="1" t="s">
        <v>4</v>
      </c>
      <c r="G11" s="1"/>
      <c r="H11" s="58">
        <v>250</v>
      </c>
      <c r="I11" s="58"/>
      <c r="J11" s="58">
        <v>50</v>
      </c>
      <c r="K11" s="58"/>
      <c r="L11" s="58">
        <v>250</v>
      </c>
      <c r="M11" s="58"/>
      <c r="N11" s="58">
        <f t="shared" si="0"/>
        <v>0</v>
      </c>
    </row>
    <row r="12" spans="1:15" ht="15.75" thickBot="1">
      <c r="A12" s="1"/>
      <c r="B12" s="1"/>
      <c r="C12" s="1"/>
      <c r="D12" s="1"/>
      <c r="E12" s="1"/>
      <c r="F12" s="1" t="s">
        <v>5</v>
      </c>
      <c r="G12" s="1"/>
      <c r="H12" s="59">
        <v>250</v>
      </c>
      <c r="I12" s="58"/>
      <c r="J12" s="59">
        <v>0</v>
      </c>
      <c r="K12" s="58"/>
      <c r="L12" s="59">
        <v>250</v>
      </c>
      <c r="M12" s="58"/>
      <c r="N12" s="59">
        <f t="shared" si="0"/>
        <v>0</v>
      </c>
    </row>
    <row r="13" spans="1:15">
      <c r="A13" s="1"/>
      <c r="B13" s="1"/>
      <c r="C13" s="1"/>
      <c r="D13" s="1"/>
      <c r="E13" s="1" t="s">
        <v>6</v>
      </c>
      <c r="F13" s="1"/>
      <c r="G13" s="1"/>
      <c r="H13" s="58">
        <f>ROUND(SUM(H9:H12),5)</f>
        <v>3500</v>
      </c>
      <c r="I13" s="58"/>
      <c r="J13" s="58">
        <f>ROUND(SUM(J9:J12),5)</f>
        <v>50</v>
      </c>
      <c r="K13" s="58"/>
      <c r="L13" s="58">
        <f>ROUND(SUM(L9:L12),5)</f>
        <v>3500</v>
      </c>
      <c r="M13" s="58"/>
      <c r="N13" s="58">
        <f>SUM(N10:N12)</f>
        <v>0</v>
      </c>
    </row>
    <row r="14" spans="1:15">
      <c r="A14" s="1"/>
      <c r="B14" s="1"/>
      <c r="C14" s="1"/>
      <c r="D14" s="1"/>
      <c r="E14" s="1" t="s">
        <v>7</v>
      </c>
      <c r="F14" s="1"/>
      <c r="G14" s="1"/>
      <c r="H14" s="58"/>
      <c r="I14" s="58"/>
      <c r="J14" s="58"/>
      <c r="K14" s="58"/>
      <c r="L14" s="58"/>
      <c r="M14" s="58"/>
      <c r="N14" s="58"/>
    </row>
    <row r="15" spans="1:15">
      <c r="A15" s="1"/>
      <c r="B15" s="1"/>
      <c r="C15" s="1"/>
      <c r="D15" s="1"/>
      <c r="E15" s="1"/>
      <c r="F15" s="1" t="s">
        <v>8</v>
      </c>
      <c r="G15" s="1"/>
      <c r="H15" s="58"/>
      <c r="I15" s="58"/>
      <c r="J15" s="58"/>
      <c r="K15" s="58"/>
      <c r="L15" s="58"/>
      <c r="M15" s="58"/>
      <c r="N15" s="58"/>
    </row>
    <row r="16" spans="1:15">
      <c r="A16" s="1"/>
      <c r="B16" s="1"/>
      <c r="C16" s="1"/>
      <c r="D16" s="1"/>
      <c r="E16" s="1"/>
      <c r="F16" s="1"/>
      <c r="G16" s="1" t="s">
        <v>9</v>
      </c>
      <c r="H16" s="58">
        <v>22000</v>
      </c>
      <c r="I16" s="58"/>
      <c r="J16" s="58">
        <v>0</v>
      </c>
      <c r="K16" s="58"/>
      <c r="L16" s="58">
        <v>26000</v>
      </c>
      <c r="M16" s="58"/>
      <c r="N16" s="58">
        <f t="shared" si="0"/>
        <v>-4000</v>
      </c>
    </row>
    <row r="17" spans="1:15">
      <c r="A17" s="1"/>
      <c r="B17" s="1"/>
      <c r="C17" s="1"/>
      <c r="D17" s="1"/>
      <c r="E17" s="1"/>
      <c r="F17" s="1"/>
      <c r="G17" s="1" t="s">
        <v>10</v>
      </c>
      <c r="H17" s="58">
        <v>6000</v>
      </c>
      <c r="I17" s="58"/>
      <c r="J17" s="58">
        <v>100</v>
      </c>
      <c r="K17" s="58"/>
      <c r="L17" s="58">
        <v>9000</v>
      </c>
      <c r="M17" s="58"/>
      <c r="N17" s="58">
        <f t="shared" si="0"/>
        <v>-3000</v>
      </c>
    </row>
    <row r="18" spans="1:15">
      <c r="A18" s="1"/>
      <c r="B18" s="1"/>
      <c r="C18" s="1"/>
      <c r="D18" s="1"/>
      <c r="E18" s="1"/>
      <c r="F18" s="1"/>
      <c r="G18" s="1" t="s">
        <v>11</v>
      </c>
      <c r="H18" s="58">
        <v>100000</v>
      </c>
      <c r="I18" s="58"/>
      <c r="J18" s="58">
        <v>16450</v>
      </c>
      <c r="K18" s="58"/>
      <c r="L18" s="58">
        <v>100000</v>
      </c>
      <c r="M18" s="58"/>
      <c r="N18" s="58">
        <f t="shared" si="0"/>
        <v>0</v>
      </c>
    </row>
    <row r="19" spans="1:15" ht="15.75" thickBot="1">
      <c r="A19" s="1"/>
      <c r="B19" s="1"/>
      <c r="C19" s="1"/>
      <c r="D19" s="1"/>
      <c r="E19" s="1"/>
      <c r="F19" s="1"/>
      <c r="G19" s="1" t="s">
        <v>12</v>
      </c>
      <c r="H19" s="59">
        <v>12500</v>
      </c>
      <c r="I19" s="58"/>
      <c r="J19" s="59">
        <v>0</v>
      </c>
      <c r="K19" s="58"/>
      <c r="L19" s="59">
        <v>12000</v>
      </c>
      <c r="M19" s="58"/>
      <c r="N19" s="59">
        <f t="shared" si="0"/>
        <v>500</v>
      </c>
    </row>
    <row r="20" spans="1:15">
      <c r="A20" s="1"/>
      <c r="B20" s="1"/>
      <c r="C20" s="1"/>
      <c r="D20" s="1"/>
      <c r="E20" s="1"/>
      <c r="F20" s="1" t="s">
        <v>13</v>
      </c>
      <c r="G20" s="1"/>
      <c r="H20" s="80">
        <f>ROUND(SUM(H15:H19),5)</f>
        <v>140500</v>
      </c>
      <c r="I20" s="58"/>
      <c r="J20" s="58">
        <f>ROUND(SUM(J15:J19),5)</f>
        <v>16550</v>
      </c>
      <c r="K20" s="58"/>
      <c r="L20" s="58">
        <f>ROUND(SUM(L15:L19),5)</f>
        <v>147000</v>
      </c>
      <c r="M20" s="58"/>
      <c r="N20" s="58">
        <f>SUM(N16:N19)</f>
        <v>-6500</v>
      </c>
      <c r="O20" t="s">
        <v>228</v>
      </c>
    </row>
    <row r="21" spans="1:15">
      <c r="A21" s="1"/>
      <c r="B21" s="1"/>
      <c r="C21" s="1"/>
      <c r="D21" s="1"/>
      <c r="E21" s="1"/>
      <c r="F21" s="1" t="s">
        <v>14</v>
      </c>
      <c r="G21" s="1"/>
      <c r="H21" s="58">
        <v>5000</v>
      </c>
      <c r="I21" s="58"/>
      <c r="J21" s="58">
        <v>3525</v>
      </c>
      <c r="K21" s="58"/>
      <c r="L21" s="58">
        <v>7500</v>
      </c>
      <c r="M21" s="58"/>
      <c r="N21" s="58">
        <f t="shared" si="0"/>
        <v>-2500</v>
      </c>
    </row>
    <row r="22" spans="1:15" ht="15.75" thickBot="1">
      <c r="A22" s="1"/>
      <c r="B22" s="1"/>
      <c r="C22" s="1"/>
      <c r="D22" s="1"/>
      <c r="E22" s="1"/>
      <c r="F22" s="1" t="s">
        <v>184</v>
      </c>
      <c r="G22" s="1"/>
      <c r="H22" s="59">
        <v>3500</v>
      </c>
      <c r="I22" s="58"/>
      <c r="J22" s="59">
        <v>1515</v>
      </c>
      <c r="K22" s="58"/>
      <c r="L22" s="59">
        <v>5000</v>
      </c>
      <c r="M22" s="58"/>
      <c r="N22" s="59">
        <f t="shared" si="0"/>
        <v>-1500</v>
      </c>
    </row>
    <row r="23" spans="1:15">
      <c r="A23" s="1"/>
      <c r="B23" s="1"/>
      <c r="C23" s="1"/>
      <c r="D23" s="1"/>
      <c r="E23" s="1" t="s">
        <v>15</v>
      </c>
      <c r="F23" s="1"/>
      <c r="G23" s="1"/>
      <c r="H23" s="58">
        <f>ROUND(H14+SUM(H20:H22),5)</f>
        <v>149000</v>
      </c>
      <c r="I23" s="58"/>
      <c r="J23" s="58">
        <f>ROUND(J14+SUM(J20:J22),5)</f>
        <v>21590</v>
      </c>
      <c r="K23" s="58"/>
      <c r="L23" s="58">
        <f>ROUND(L14+SUM(L20:L22),5)</f>
        <v>159500</v>
      </c>
      <c r="M23" s="58"/>
      <c r="N23" s="58">
        <f t="shared" si="0"/>
        <v>-10500</v>
      </c>
    </row>
    <row r="24" spans="1:15">
      <c r="A24" s="1"/>
      <c r="B24" s="1"/>
      <c r="C24" s="1"/>
      <c r="D24" s="1"/>
      <c r="E24" s="1" t="s">
        <v>16</v>
      </c>
      <c r="F24" s="1"/>
      <c r="G24" s="1"/>
      <c r="H24" s="58"/>
      <c r="I24" s="58"/>
      <c r="J24" s="58"/>
      <c r="K24" s="58"/>
      <c r="L24" s="58"/>
      <c r="M24" s="58"/>
      <c r="N24" s="58"/>
    </row>
    <row r="25" spans="1:15">
      <c r="A25" s="1"/>
      <c r="B25" s="1"/>
      <c r="C25" s="1"/>
      <c r="D25" s="1"/>
      <c r="E25" s="1"/>
      <c r="F25" s="1" t="s">
        <v>17</v>
      </c>
      <c r="G25" s="1"/>
      <c r="H25" s="58">
        <v>5000</v>
      </c>
      <c r="I25" s="58"/>
      <c r="J25" s="58">
        <v>0</v>
      </c>
      <c r="K25" s="58"/>
      <c r="L25" s="58">
        <v>20000</v>
      </c>
      <c r="M25" s="58"/>
      <c r="N25" s="58">
        <f t="shared" si="0"/>
        <v>-15000</v>
      </c>
    </row>
    <row r="26" spans="1:15">
      <c r="A26" s="1"/>
      <c r="B26" s="1"/>
      <c r="C26" s="1"/>
      <c r="D26" s="1"/>
      <c r="E26" s="1"/>
      <c r="F26" s="1" t="s">
        <v>18</v>
      </c>
      <c r="G26" s="1"/>
      <c r="H26" s="58">
        <v>2500</v>
      </c>
      <c r="I26" s="58"/>
      <c r="J26" s="58">
        <v>60</v>
      </c>
      <c r="K26" s="58"/>
      <c r="L26" s="58">
        <v>6000</v>
      </c>
      <c r="M26" s="58"/>
      <c r="N26" s="58">
        <f t="shared" si="0"/>
        <v>-3500</v>
      </c>
      <c r="O26" t="s">
        <v>229</v>
      </c>
    </row>
    <row r="27" spans="1:15">
      <c r="A27" s="1"/>
      <c r="B27" s="1"/>
      <c r="C27" s="1"/>
      <c r="D27" s="1"/>
      <c r="E27" s="1"/>
      <c r="F27" s="1" t="s">
        <v>19</v>
      </c>
      <c r="G27" s="1"/>
      <c r="H27" s="58">
        <f>30*750*12</f>
        <v>270000</v>
      </c>
      <c r="I27" s="58"/>
      <c r="J27" s="58">
        <v>134750</v>
      </c>
      <c r="K27" s="58"/>
      <c r="L27" s="58">
        <v>325000</v>
      </c>
      <c r="M27" s="58"/>
      <c r="N27" s="58">
        <f t="shared" si="0"/>
        <v>-55000</v>
      </c>
      <c r="O27" t="s">
        <v>191</v>
      </c>
    </row>
    <row r="28" spans="1:15" ht="15.75" thickBot="1">
      <c r="A28" s="1"/>
      <c r="B28" s="1"/>
      <c r="C28" s="1"/>
      <c r="D28" s="1"/>
      <c r="E28" s="1"/>
      <c r="F28" s="1" t="s">
        <v>20</v>
      </c>
      <c r="G28" s="1"/>
      <c r="H28" s="59">
        <v>3000</v>
      </c>
      <c r="I28" s="58"/>
      <c r="J28" s="59">
        <v>1360</v>
      </c>
      <c r="K28" s="58"/>
      <c r="L28" s="59">
        <v>5000</v>
      </c>
      <c r="M28" s="58"/>
      <c r="N28" s="59">
        <f t="shared" si="0"/>
        <v>-2000</v>
      </c>
      <c r="O28" s="65"/>
    </row>
    <row r="29" spans="1:15">
      <c r="A29" s="1"/>
      <c r="B29" s="1"/>
      <c r="C29" s="1"/>
      <c r="D29" s="1"/>
      <c r="E29" s="1" t="s">
        <v>21</v>
      </c>
      <c r="F29" s="1"/>
      <c r="G29" s="1"/>
      <c r="H29" s="58">
        <f>ROUND(SUM(H24:H28),5)</f>
        <v>280500</v>
      </c>
      <c r="I29" s="58"/>
      <c r="J29" s="58">
        <f>ROUND(SUM(J24:J28),5)</f>
        <v>136170</v>
      </c>
      <c r="K29" s="58"/>
      <c r="L29" s="58">
        <f>ROUND(SUM(L24:L28),5)</f>
        <v>356000</v>
      </c>
      <c r="M29" s="58"/>
      <c r="N29" s="58">
        <f t="shared" si="0"/>
        <v>-75500</v>
      </c>
    </row>
    <row r="30" spans="1:15">
      <c r="A30" s="1"/>
      <c r="B30" s="1"/>
      <c r="C30" s="1"/>
      <c r="D30" s="1"/>
      <c r="E30" s="1" t="s">
        <v>22</v>
      </c>
      <c r="F30" s="1"/>
      <c r="G30" s="1"/>
      <c r="H30" s="58"/>
      <c r="I30" s="58"/>
      <c r="J30" s="58"/>
      <c r="K30" s="58"/>
      <c r="L30" s="58"/>
      <c r="M30" s="58"/>
      <c r="N30" s="58"/>
    </row>
    <row r="31" spans="1:15">
      <c r="A31" s="1"/>
      <c r="B31" s="1"/>
      <c r="C31" s="1"/>
      <c r="D31" s="1"/>
      <c r="E31" s="1"/>
      <c r="F31" s="1" t="s">
        <v>205</v>
      </c>
      <c r="G31" s="1"/>
      <c r="H31" s="58">
        <v>5000</v>
      </c>
      <c r="I31" s="58"/>
      <c r="J31" s="58">
        <v>0</v>
      </c>
      <c r="K31" s="58"/>
      <c r="L31" s="58">
        <v>0</v>
      </c>
      <c r="M31" s="58"/>
      <c r="N31" s="58">
        <f t="shared" ref="N31:N60" si="1">H31-L31</f>
        <v>5000</v>
      </c>
    </row>
    <row r="32" spans="1:15">
      <c r="A32" s="1"/>
      <c r="B32" s="1"/>
      <c r="C32" s="1"/>
      <c r="D32" s="1"/>
      <c r="E32" s="1"/>
      <c r="F32" s="1" t="s">
        <v>27</v>
      </c>
      <c r="G32" s="1"/>
      <c r="H32" s="58">
        <v>85000</v>
      </c>
      <c r="I32" s="58"/>
      <c r="J32" s="58">
        <v>85000</v>
      </c>
      <c r="K32" s="58"/>
      <c r="L32" s="58">
        <v>75000</v>
      </c>
      <c r="M32" s="58"/>
      <c r="N32" s="58">
        <f t="shared" si="1"/>
        <v>10000</v>
      </c>
    </row>
    <row r="33" spans="1:15">
      <c r="A33" s="1"/>
      <c r="B33" s="1"/>
      <c r="C33" s="1"/>
      <c r="D33" s="1"/>
      <c r="E33" s="1"/>
      <c r="F33" s="1" t="s">
        <v>28</v>
      </c>
      <c r="G33" s="1"/>
      <c r="H33" s="58">
        <v>4600</v>
      </c>
      <c r="I33" s="58"/>
      <c r="J33" s="58">
        <v>4584</v>
      </c>
      <c r="K33" s="58"/>
      <c r="L33" s="58">
        <v>4584</v>
      </c>
      <c r="M33" s="58"/>
      <c r="N33" s="58">
        <f t="shared" si="1"/>
        <v>16</v>
      </c>
    </row>
    <row r="34" spans="1:15">
      <c r="A34" s="1"/>
      <c r="B34" s="1"/>
      <c r="C34" s="1"/>
      <c r="D34" s="1"/>
      <c r="E34" s="1"/>
      <c r="F34" s="1" t="s">
        <v>187</v>
      </c>
      <c r="G34" s="1"/>
      <c r="H34" s="58">
        <v>15000</v>
      </c>
      <c r="I34" s="58"/>
      <c r="J34" s="58"/>
      <c r="K34" s="58"/>
      <c r="L34" s="58"/>
      <c r="M34" s="58"/>
      <c r="N34" s="58">
        <f t="shared" si="1"/>
        <v>15000</v>
      </c>
    </row>
    <row r="35" spans="1:15">
      <c r="A35" s="1"/>
      <c r="B35" s="1"/>
      <c r="C35" s="1"/>
      <c r="D35" s="1"/>
      <c r="E35" s="1"/>
      <c r="F35" s="1" t="s">
        <v>29</v>
      </c>
      <c r="G35" s="1"/>
      <c r="H35" s="58">
        <v>5000</v>
      </c>
      <c r="I35" s="58"/>
      <c r="J35" s="58">
        <v>0</v>
      </c>
      <c r="K35" s="58"/>
      <c r="L35" s="58">
        <v>3500</v>
      </c>
      <c r="M35" s="58"/>
      <c r="N35" s="58">
        <f t="shared" si="1"/>
        <v>1500</v>
      </c>
    </row>
    <row r="36" spans="1:15">
      <c r="A36" s="1"/>
      <c r="B36" s="1"/>
      <c r="C36" s="1"/>
      <c r="D36" s="1"/>
      <c r="E36" s="1"/>
      <c r="F36" s="1" t="s">
        <v>203</v>
      </c>
      <c r="G36" s="1"/>
      <c r="H36" s="58">
        <v>0</v>
      </c>
      <c r="I36" s="58"/>
      <c r="J36" s="58">
        <v>0</v>
      </c>
      <c r="K36" s="58"/>
      <c r="L36" s="58">
        <v>0</v>
      </c>
      <c r="M36" s="58"/>
      <c r="N36" s="58">
        <f t="shared" si="1"/>
        <v>0</v>
      </c>
      <c r="O36" t="s">
        <v>232</v>
      </c>
    </row>
    <row r="37" spans="1:15">
      <c r="A37" s="1"/>
      <c r="B37" s="1"/>
      <c r="C37" s="1"/>
      <c r="D37" s="1"/>
      <c r="E37" s="1"/>
      <c r="F37" s="1" t="s">
        <v>225</v>
      </c>
      <c r="G37" s="1"/>
      <c r="H37" s="58">
        <v>20000</v>
      </c>
      <c r="I37" s="58"/>
      <c r="J37" s="58">
        <v>0</v>
      </c>
      <c r="K37" s="58"/>
      <c r="L37" s="58">
        <v>20000</v>
      </c>
      <c r="M37" s="58"/>
      <c r="N37" s="58">
        <f t="shared" si="1"/>
        <v>0</v>
      </c>
      <c r="O37" t="s">
        <v>185</v>
      </c>
    </row>
    <row r="38" spans="1:15">
      <c r="A38" s="1"/>
      <c r="B38" s="1"/>
      <c r="C38" s="1"/>
      <c r="D38" s="1"/>
      <c r="E38" s="1"/>
      <c r="F38" s="1" t="s">
        <v>230</v>
      </c>
      <c r="G38" s="1"/>
      <c r="H38" s="66">
        <v>8000</v>
      </c>
      <c r="I38" s="58"/>
      <c r="J38" s="58"/>
      <c r="K38" s="58"/>
      <c r="L38" s="58"/>
      <c r="M38" s="58"/>
      <c r="N38" s="58"/>
    </row>
    <row r="39" spans="1:15">
      <c r="A39" s="1"/>
      <c r="B39" s="1"/>
      <c r="C39" s="1"/>
      <c r="D39" s="1"/>
      <c r="E39" s="1"/>
      <c r="F39" s="1" t="s">
        <v>204</v>
      </c>
      <c r="G39" s="1"/>
      <c r="H39" s="58">
        <v>15000</v>
      </c>
      <c r="I39" s="58"/>
      <c r="J39" s="58">
        <v>15000</v>
      </c>
      <c r="K39" s="58"/>
      <c r="L39" s="58">
        <v>0</v>
      </c>
      <c r="M39" s="58"/>
      <c r="N39" s="58">
        <f t="shared" si="1"/>
        <v>15000</v>
      </c>
    </row>
    <row r="40" spans="1:15">
      <c r="A40" s="1"/>
      <c r="B40" s="1"/>
      <c r="C40" s="1"/>
      <c r="D40" s="1"/>
      <c r="E40" s="1"/>
      <c r="F40" s="1" t="s">
        <v>208</v>
      </c>
      <c r="G40" s="1"/>
      <c r="H40" s="58">
        <v>2500</v>
      </c>
      <c r="I40" s="58"/>
      <c r="J40" s="58">
        <v>0</v>
      </c>
      <c r="K40" s="58"/>
      <c r="L40" s="58">
        <v>0</v>
      </c>
      <c r="M40" s="58"/>
      <c r="N40" s="58">
        <f t="shared" si="1"/>
        <v>2500</v>
      </c>
    </row>
    <row r="41" spans="1:15">
      <c r="A41" s="1"/>
      <c r="B41" s="1"/>
      <c r="C41" s="1"/>
      <c r="D41" s="1"/>
      <c r="E41" s="1"/>
      <c r="F41" s="1" t="s">
        <v>25</v>
      </c>
      <c r="G41" s="1"/>
      <c r="H41" s="58">
        <v>3000</v>
      </c>
      <c r="I41" s="58"/>
      <c r="J41" s="58">
        <v>0</v>
      </c>
      <c r="K41" s="58"/>
      <c r="L41" s="58">
        <v>5000</v>
      </c>
      <c r="M41" s="58"/>
      <c r="N41" s="58">
        <f t="shared" si="1"/>
        <v>-2000</v>
      </c>
    </row>
    <row r="42" spans="1:15">
      <c r="A42" s="1"/>
      <c r="B42" s="1"/>
      <c r="C42" s="1"/>
      <c r="D42" s="1"/>
      <c r="E42" s="1"/>
      <c r="F42" s="1" t="s">
        <v>206</v>
      </c>
      <c r="G42" s="1"/>
      <c r="H42" s="58">
        <v>5000</v>
      </c>
      <c r="I42" s="58"/>
      <c r="J42" s="58">
        <v>0</v>
      </c>
      <c r="K42" s="58"/>
      <c r="L42" s="58">
        <v>0</v>
      </c>
      <c r="M42" s="58"/>
      <c r="N42" s="58">
        <f t="shared" si="1"/>
        <v>5000</v>
      </c>
    </row>
    <row r="43" spans="1:15">
      <c r="A43" s="1"/>
      <c r="B43" s="1"/>
      <c r="C43" s="1"/>
      <c r="D43" s="1"/>
      <c r="E43" s="1"/>
      <c r="F43" s="1" t="s">
        <v>30</v>
      </c>
      <c r="G43" s="1"/>
      <c r="H43" s="58">
        <v>15000</v>
      </c>
      <c r="I43" s="58"/>
      <c r="J43" s="58">
        <v>15000</v>
      </c>
      <c r="K43" s="58"/>
      <c r="L43" s="58">
        <v>15000</v>
      </c>
      <c r="M43" s="58"/>
      <c r="N43" s="58">
        <f t="shared" si="1"/>
        <v>0</v>
      </c>
    </row>
    <row r="44" spans="1:15">
      <c r="A44" s="1"/>
      <c r="B44" s="1"/>
      <c r="C44" s="1"/>
      <c r="D44" s="1"/>
      <c r="E44" s="1"/>
      <c r="F44" s="1" t="s">
        <v>23</v>
      </c>
      <c r="G44" s="1"/>
      <c r="H44" s="58">
        <v>15000</v>
      </c>
      <c r="I44" s="58"/>
      <c r="J44" s="58">
        <v>15000</v>
      </c>
      <c r="K44" s="58"/>
      <c r="L44" s="58">
        <v>10000</v>
      </c>
      <c r="M44" s="58"/>
      <c r="N44" s="58">
        <f t="shared" si="1"/>
        <v>5000</v>
      </c>
    </row>
    <row r="45" spans="1:15">
      <c r="A45" s="1"/>
      <c r="B45" s="1"/>
      <c r="C45" s="1"/>
      <c r="D45" s="1"/>
      <c r="E45" s="1"/>
      <c r="F45" s="1" t="s">
        <v>211</v>
      </c>
      <c r="G45" s="1"/>
      <c r="H45" s="58">
        <v>3000</v>
      </c>
      <c r="I45" s="58"/>
      <c r="J45" s="58">
        <v>0</v>
      </c>
      <c r="K45" s="58"/>
      <c r="L45" s="58">
        <v>0</v>
      </c>
      <c r="M45" s="58"/>
      <c r="N45" s="58">
        <f t="shared" si="1"/>
        <v>3000</v>
      </c>
    </row>
    <row r="46" spans="1:15">
      <c r="A46" s="1"/>
      <c r="B46" s="1"/>
      <c r="C46" s="1"/>
      <c r="D46" s="1"/>
      <c r="E46" s="1"/>
      <c r="F46" s="1" t="s">
        <v>31</v>
      </c>
      <c r="G46" s="1"/>
      <c r="H46" s="58">
        <v>8500</v>
      </c>
      <c r="I46" s="58"/>
      <c r="J46" s="58">
        <v>8500</v>
      </c>
      <c r="K46" s="58"/>
      <c r="L46" s="58">
        <v>8500</v>
      </c>
      <c r="M46" s="58"/>
      <c r="N46" s="58">
        <f t="shared" si="1"/>
        <v>0</v>
      </c>
    </row>
    <row r="47" spans="1:15">
      <c r="A47" s="1"/>
      <c r="B47" s="1"/>
      <c r="C47" s="1"/>
      <c r="D47" s="1"/>
      <c r="E47" s="1"/>
      <c r="F47" s="1" t="s">
        <v>33</v>
      </c>
      <c r="G47" s="1"/>
      <c r="H47" s="58">
        <v>5000</v>
      </c>
      <c r="I47" s="58"/>
      <c r="J47" s="58">
        <v>10000</v>
      </c>
      <c r="K47" s="58"/>
      <c r="L47" s="58">
        <v>10000</v>
      </c>
      <c r="M47" s="58"/>
      <c r="N47" s="58">
        <f t="shared" si="1"/>
        <v>-5000</v>
      </c>
      <c r="O47" t="s">
        <v>215</v>
      </c>
    </row>
    <row r="48" spans="1:15">
      <c r="A48" s="1"/>
      <c r="B48" s="1"/>
      <c r="C48" s="1"/>
      <c r="D48" s="1"/>
      <c r="E48" s="1"/>
      <c r="F48" s="1" t="s">
        <v>26</v>
      </c>
      <c r="G48" s="1"/>
      <c r="H48" s="58">
        <v>25000</v>
      </c>
      <c r="I48" s="58"/>
      <c r="J48" s="58">
        <v>5000</v>
      </c>
      <c r="K48" s="58"/>
      <c r="L48" s="58">
        <v>25000</v>
      </c>
      <c r="M48" s="58"/>
      <c r="N48" s="58">
        <f t="shared" si="1"/>
        <v>0</v>
      </c>
    </row>
    <row r="49" spans="1:15">
      <c r="A49" s="1"/>
      <c r="B49" s="1"/>
      <c r="C49" s="1"/>
      <c r="D49" s="1"/>
      <c r="E49" s="1"/>
      <c r="F49" s="1" t="s">
        <v>32</v>
      </c>
      <c r="G49" s="1"/>
      <c r="H49" s="80">
        <v>8000</v>
      </c>
      <c r="I49" s="58"/>
      <c r="J49" s="58">
        <v>16250</v>
      </c>
      <c r="K49" s="58"/>
      <c r="L49" s="58">
        <v>39500</v>
      </c>
      <c r="M49" s="58"/>
      <c r="N49" s="58">
        <f t="shared" si="1"/>
        <v>-31500</v>
      </c>
    </row>
    <row r="50" spans="1:15">
      <c r="A50" s="1"/>
      <c r="B50" s="1"/>
      <c r="C50" s="1"/>
      <c r="D50" s="1"/>
      <c r="E50" s="1"/>
      <c r="F50" s="1" t="s">
        <v>209</v>
      </c>
      <c r="G50" s="1"/>
      <c r="H50" s="58">
        <v>0</v>
      </c>
      <c r="I50" s="58"/>
      <c r="J50" s="58">
        <v>0</v>
      </c>
      <c r="K50" s="58"/>
      <c r="L50" s="58">
        <v>0</v>
      </c>
      <c r="M50" s="58"/>
      <c r="N50" s="58">
        <f t="shared" si="1"/>
        <v>0</v>
      </c>
      <c r="O50" t="s">
        <v>231</v>
      </c>
    </row>
    <row r="51" spans="1:15">
      <c r="A51" s="1"/>
      <c r="B51" s="1"/>
      <c r="C51" s="1"/>
      <c r="D51" s="1"/>
      <c r="E51" s="1"/>
      <c r="F51" s="1" t="s">
        <v>35</v>
      </c>
      <c r="G51" s="1"/>
      <c r="H51" s="66">
        <v>1000</v>
      </c>
      <c r="I51" s="58"/>
      <c r="J51" s="58">
        <v>1000</v>
      </c>
      <c r="K51" s="58"/>
      <c r="L51" s="58">
        <v>2500</v>
      </c>
      <c r="M51" s="58"/>
      <c r="N51" s="58">
        <f t="shared" si="1"/>
        <v>-1500</v>
      </c>
    </row>
    <row r="52" spans="1:15">
      <c r="A52" s="1"/>
      <c r="B52" s="1"/>
      <c r="C52" s="1"/>
      <c r="D52" s="1"/>
      <c r="E52" s="1"/>
      <c r="F52" s="1" t="s">
        <v>34</v>
      </c>
      <c r="G52" s="1"/>
      <c r="H52" s="66">
        <v>3000</v>
      </c>
      <c r="I52" s="58"/>
      <c r="J52" s="58">
        <v>0</v>
      </c>
      <c r="K52" s="58"/>
      <c r="L52" s="58">
        <v>3000</v>
      </c>
      <c r="M52" s="58"/>
      <c r="N52" s="58">
        <f t="shared" si="1"/>
        <v>0</v>
      </c>
    </row>
    <row r="53" spans="1:15">
      <c r="A53" s="1"/>
      <c r="B53" s="1"/>
      <c r="C53" s="1"/>
      <c r="D53" s="1"/>
      <c r="E53" s="1"/>
      <c r="F53" s="1" t="s">
        <v>207</v>
      </c>
      <c r="G53" s="1"/>
      <c r="H53" s="66">
        <v>5000</v>
      </c>
      <c r="I53" s="58"/>
      <c r="J53" s="58">
        <v>0</v>
      </c>
      <c r="K53" s="58"/>
      <c r="L53" s="58">
        <v>0</v>
      </c>
      <c r="M53" s="58"/>
      <c r="N53" s="58">
        <f t="shared" si="1"/>
        <v>5000</v>
      </c>
    </row>
    <row r="54" spans="1:15">
      <c r="A54" s="1"/>
      <c r="B54" s="1"/>
      <c r="C54" s="1"/>
      <c r="D54" s="1"/>
      <c r="E54" s="1"/>
      <c r="F54" s="1" t="s">
        <v>36</v>
      </c>
      <c r="G54" s="1"/>
      <c r="H54" s="66">
        <v>3000</v>
      </c>
      <c r="I54" s="58"/>
      <c r="J54" s="58">
        <v>3000</v>
      </c>
      <c r="K54" s="58"/>
      <c r="L54" s="58">
        <v>2500</v>
      </c>
      <c r="M54" s="58"/>
      <c r="N54" s="58">
        <f t="shared" si="1"/>
        <v>500</v>
      </c>
    </row>
    <row r="55" spans="1:15">
      <c r="A55" s="1"/>
      <c r="B55" s="1"/>
      <c r="C55" s="1"/>
      <c r="D55" s="1"/>
      <c r="E55" s="1"/>
      <c r="F55" s="1" t="s">
        <v>24</v>
      </c>
      <c r="G55" s="1"/>
      <c r="H55" s="66">
        <v>10000</v>
      </c>
      <c r="I55" s="58"/>
      <c r="J55" s="58">
        <v>10000</v>
      </c>
      <c r="K55" s="58"/>
      <c r="L55" s="58"/>
      <c r="M55" s="58"/>
      <c r="N55" s="58">
        <f t="shared" si="1"/>
        <v>10000</v>
      </c>
    </row>
    <row r="56" spans="1:15">
      <c r="A56" s="1"/>
      <c r="B56" s="1"/>
      <c r="C56" s="1"/>
      <c r="D56" s="1"/>
      <c r="E56" s="1"/>
      <c r="F56" s="1" t="s">
        <v>37</v>
      </c>
      <c r="G56" s="1"/>
      <c r="H56" s="58">
        <v>20000</v>
      </c>
      <c r="I56" s="58"/>
      <c r="J56" s="58">
        <v>20000</v>
      </c>
      <c r="K56" s="58"/>
      <c r="L56" s="58">
        <v>20000</v>
      </c>
      <c r="M56" s="58"/>
      <c r="N56" s="58">
        <f t="shared" si="1"/>
        <v>0</v>
      </c>
    </row>
    <row r="57" spans="1:15">
      <c r="A57" s="1"/>
      <c r="B57" s="1"/>
      <c r="C57" s="1"/>
      <c r="D57" s="1"/>
      <c r="E57" s="1"/>
      <c r="F57" s="1" t="s">
        <v>226</v>
      </c>
      <c r="G57" s="1"/>
      <c r="H57" s="58">
        <v>0</v>
      </c>
      <c r="I57" s="58"/>
      <c r="J57" s="58">
        <v>17493.45</v>
      </c>
      <c r="K57" s="58"/>
      <c r="L57" s="58"/>
      <c r="M57" s="58"/>
      <c r="N57" s="58">
        <f t="shared" si="1"/>
        <v>0</v>
      </c>
    </row>
    <row r="58" spans="1:15">
      <c r="A58" s="1"/>
      <c r="B58" s="1"/>
      <c r="C58" s="1"/>
      <c r="D58" s="1"/>
      <c r="E58" s="1"/>
      <c r="F58" s="1" t="s">
        <v>210</v>
      </c>
      <c r="G58" s="1"/>
      <c r="H58" s="58">
        <v>1000</v>
      </c>
      <c r="I58" s="58"/>
      <c r="J58" s="58">
        <v>0</v>
      </c>
      <c r="K58" s="58"/>
      <c r="L58" s="58">
        <v>0</v>
      </c>
      <c r="M58" s="58"/>
      <c r="N58" s="58">
        <f t="shared" si="1"/>
        <v>1000</v>
      </c>
    </row>
    <row r="59" spans="1:15">
      <c r="A59" s="1"/>
      <c r="B59" s="1"/>
      <c r="C59" s="1"/>
      <c r="D59" s="1"/>
      <c r="E59" s="1"/>
      <c r="F59" s="1" t="s">
        <v>38</v>
      </c>
      <c r="G59" s="1"/>
      <c r="H59" s="58">
        <v>0</v>
      </c>
      <c r="I59" s="58"/>
      <c r="J59" s="58">
        <v>24000</v>
      </c>
      <c r="K59" s="58"/>
      <c r="L59" s="58">
        <v>15000</v>
      </c>
      <c r="M59" s="58"/>
      <c r="N59" s="58">
        <f t="shared" si="1"/>
        <v>-15000</v>
      </c>
    </row>
    <row r="60" spans="1:15" ht="15.75" thickBot="1">
      <c r="A60" s="1"/>
      <c r="B60" s="1"/>
      <c r="C60" s="1"/>
      <c r="D60" s="1"/>
      <c r="E60" s="1"/>
      <c r="F60" s="1" t="s">
        <v>223</v>
      </c>
      <c r="G60" s="1"/>
      <c r="H60" s="59">
        <v>25000</v>
      </c>
      <c r="I60" s="58"/>
      <c r="J60" s="59">
        <v>0</v>
      </c>
      <c r="K60" s="58"/>
      <c r="L60" s="59">
        <v>0</v>
      </c>
      <c r="M60" s="58"/>
      <c r="N60" s="59">
        <f t="shared" si="1"/>
        <v>25000</v>
      </c>
      <c r="O60" t="s">
        <v>227</v>
      </c>
    </row>
    <row r="61" spans="1:15">
      <c r="A61" s="1"/>
      <c r="B61" s="1"/>
      <c r="C61" s="1"/>
      <c r="D61" s="1"/>
      <c r="E61" s="1" t="s">
        <v>39</v>
      </c>
      <c r="F61" s="1"/>
      <c r="G61" s="1"/>
      <c r="H61" s="58">
        <f>SUM(H31:H60)</f>
        <v>315600</v>
      </c>
      <c r="I61" s="58"/>
      <c r="J61" s="58">
        <f>ROUND(SUM(J30:J60),5)</f>
        <v>249827.45</v>
      </c>
      <c r="K61" s="58"/>
      <c r="L61" s="58">
        <f>ROUND(SUM(L30:L60),5)</f>
        <v>259084</v>
      </c>
      <c r="M61" s="58"/>
      <c r="N61" s="58">
        <f t="shared" si="0"/>
        <v>56516</v>
      </c>
    </row>
    <row r="62" spans="1:15">
      <c r="A62" s="1"/>
      <c r="B62" s="1"/>
      <c r="C62" s="1"/>
      <c r="D62" s="1"/>
      <c r="E62" s="1" t="s">
        <v>40</v>
      </c>
      <c r="F62" s="1"/>
      <c r="G62" s="1"/>
      <c r="H62" s="58"/>
      <c r="I62" s="58"/>
      <c r="J62" s="58"/>
      <c r="K62" s="58"/>
      <c r="L62" s="58"/>
      <c r="M62" s="58"/>
      <c r="N62" s="58"/>
    </row>
    <row r="63" spans="1:15">
      <c r="A63" s="1"/>
      <c r="B63" s="1"/>
      <c r="C63" s="1"/>
      <c r="D63" s="1"/>
      <c r="E63" s="1"/>
      <c r="F63" s="1" t="s">
        <v>41</v>
      </c>
      <c r="G63" s="1"/>
      <c r="H63" s="58">
        <v>11000</v>
      </c>
      <c r="I63" s="58"/>
      <c r="J63" s="58">
        <v>4723.03</v>
      </c>
      <c r="K63" s="58"/>
      <c r="L63" s="58">
        <v>10000</v>
      </c>
      <c r="M63" s="58"/>
      <c r="N63" s="58">
        <f t="shared" si="0"/>
        <v>1000</v>
      </c>
    </row>
    <row r="64" spans="1:15">
      <c r="A64" s="1"/>
      <c r="B64" s="1"/>
      <c r="C64" s="1"/>
      <c r="D64" s="1"/>
      <c r="E64" s="1"/>
      <c r="F64" s="1" t="s">
        <v>188</v>
      </c>
      <c r="G64" s="1"/>
      <c r="H64" s="58">
        <v>26000</v>
      </c>
      <c r="I64" s="58"/>
      <c r="J64" s="58">
        <v>4970</v>
      </c>
      <c r="K64" s="58"/>
      <c r="L64" s="58">
        <v>20000</v>
      </c>
      <c r="M64" s="58"/>
      <c r="N64" s="58">
        <f t="shared" si="0"/>
        <v>6000</v>
      </c>
      <c r="O64" t="s">
        <v>189</v>
      </c>
    </row>
    <row r="65" spans="1:15">
      <c r="A65" s="1"/>
      <c r="B65" s="1"/>
      <c r="C65" s="1"/>
      <c r="D65" s="1"/>
      <c r="E65" s="1"/>
      <c r="F65" s="1" t="s">
        <v>190</v>
      </c>
      <c r="G65" s="1"/>
      <c r="H65" s="58">
        <v>0</v>
      </c>
      <c r="I65" s="58"/>
      <c r="J65" s="58">
        <v>8576.7900000000009</v>
      </c>
      <c r="K65" s="58"/>
      <c r="L65" s="58">
        <v>6000</v>
      </c>
      <c r="M65" s="58"/>
      <c r="N65" s="58">
        <f t="shared" si="0"/>
        <v>-6000</v>
      </c>
    </row>
    <row r="66" spans="1:15" ht="15.75" thickBot="1">
      <c r="A66" s="1"/>
      <c r="B66" s="1"/>
      <c r="C66" s="1"/>
      <c r="D66" s="1"/>
      <c r="E66" s="1"/>
      <c r="F66" s="1" t="s">
        <v>42</v>
      </c>
      <c r="G66" s="1"/>
      <c r="H66" s="59">
        <v>10000</v>
      </c>
      <c r="I66" s="58"/>
      <c r="J66" s="59">
        <v>7827.69</v>
      </c>
      <c r="K66" s="58"/>
      <c r="L66" s="59">
        <v>11000</v>
      </c>
      <c r="M66" s="58"/>
      <c r="N66" s="59">
        <f t="shared" si="0"/>
        <v>-1000</v>
      </c>
    </row>
    <row r="67" spans="1:15">
      <c r="A67" s="1"/>
      <c r="B67" s="1"/>
      <c r="C67" s="1"/>
      <c r="D67" s="1"/>
      <c r="E67" s="1" t="s">
        <v>43</v>
      </c>
      <c r="F67" s="1"/>
      <c r="G67" s="1"/>
      <c r="H67" s="58">
        <f>ROUND(SUM(H62:H66),5)</f>
        <v>47000</v>
      </c>
      <c r="I67" s="58"/>
      <c r="J67" s="58">
        <f>ROUND(SUM(J62:J66),5)</f>
        <v>26097.51</v>
      </c>
      <c r="K67" s="58"/>
      <c r="L67" s="58">
        <f>ROUND(SUM(L62:L66),5)</f>
        <v>47000</v>
      </c>
      <c r="M67" s="58"/>
      <c r="N67" s="58">
        <f t="shared" si="0"/>
        <v>0</v>
      </c>
    </row>
    <row r="68" spans="1:15" ht="15.75" thickBot="1">
      <c r="A68" s="1"/>
      <c r="B68" s="1"/>
      <c r="C68" s="1"/>
      <c r="D68" s="1"/>
      <c r="E68" s="1" t="s">
        <v>44</v>
      </c>
      <c r="F68" s="1"/>
      <c r="G68" s="1"/>
      <c r="H68" s="60">
        <v>102000</v>
      </c>
      <c r="I68" s="58"/>
      <c r="J68" s="60">
        <v>80598.25</v>
      </c>
      <c r="K68" s="58"/>
      <c r="L68" s="60">
        <v>109838</v>
      </c>
      <c r="M68" s="58"/>
      <c r="N68" s="59">
        <f t="shared" si="0"/>
        <v>-7838</v>
      </c>
    </row>
    <row r="69" spans="1:15" ht="15.75" thickBot="1">
      <c r="A69" s="1"/>
      <c r="B69" s="1"/>
      <c r="C69" s="1"/>
      <c r="D69" s="1" t="s">
        <v>45</v>
      </c>
      <c r="E69" s="1"/>
      <c r="F69" s="1"/>
      <c r="G69" s="1"/>
      <c r="H69" s="61">
        <f>ROUND(H3+H8+H13+H23+H29+H61+SUM(H67:H68),5)</f>
        <v>1098867</v>
      </c>
      <c r="I69" s="58"/>
      <c r="J69" s="61">
        <f>ROUND(J3+J8+J13+J23+J29+J61+SUM(J67:J68),5)</f>
        <v>523823.21</v>
      </c>
      <c r="K69" s="58"/>
      <c r="L69" s="61">
        <f>ROUND(L3+L8+L13+L23+L29+L61+SUM(L67:L68),5)</f>
        <v>1120532</v>
      </c>
      <c r="M69" s="58"/>
      <c r="N69" s="61">
        <f t="shared" si="0"/>
        <v>-21665</v>
      </c>
      <c r="O69" s="65"/>
    </row>
    <row r="70" spans="1:15">
      <c r="A70" s="1"/>
      <c r="B70" s="1"/>
      <c r="C70" s="1"/>
      <c r="D70" s="1"/>
      <c r="E70" s="1"/>
      <c r="F70" s="1"/>
      <c r="G70" s="1"/>
      <c r="H70" s="58"/>
      <c r="I70" s="58"/>
      <c r="J70" s="58"/>
      <c r="K70" s="58"/>
      <c r="L70" s="58"/>
      <c r="M70" s="58"/>
      <c r="N70" s="58"/>
      <c r="O70" s="65"/>
    </row>
    <row r="71" spans="1:15">
      <c r="A71" s="1"/>
      <c r="B71" s="1"/>
      <c r="C71" s="1"/>
      <c r="D71" s="1" t="s">
        <v>46</v>
      </c>
      <c r="E71" s="1"/>
      <c r="F71" s="1"/>
      <c r="G71" s="1"/>
      <c r="H71" s="58"/>
      <c r="I71" s="58"/>
      <c r="J71" s="58"/>
      <c r="K71" s="58"/>
      <c r="L71" s="58"/>
      <c r="M71" s="58"/>
      <c r="N71" s="58"/>
    </row>
    <row r="72" spans="1:15">
      <c r="A72" s="1"/>
      <c r="B72" s="1"/>
      <c r="C72" s="1"/>
      <c r="D72" s="1"/>
      <c r="E72" s="1" t="s">
        <v>47</v>
      </c>
      <c r="F72" s="1"/>
      <c r="G72" s="1"/>
      <c r="H72" s="58"/>
      <c r="I72" s="58"/>
      <c r="J72" s="58"/>
      <c r="K72" s="58"/>
      <c r="L72" s="58"/>
      <c r="M72" s="58"/>
      <c r="N72" s="58"/>
    </row>
    <row r="73" spans="1:15">
      <c r="A73" s="1"/>
      <c r="B73" s="1"/>
      <c r="C73" s="1"/>
      <c r="D73" s="1"/>
      <c r="E73" s="1"/>
      <c r="F73" s="1" t="s">
        <v>48</v>
      </c>
      <c r="G73" s="1"/>
      <c r="H73" s="58">
        <v>2600</v>
      </c>
      <c r="I73" s="58"/>
      <c r="J73" s="58">
        <v>0</v>
      </c>
      <c r="K73" s="58"/>
      <c r="L73" s="58">
        <v>7500</v>
      </c>
      <c r="M73" s="58"/>
      <c r="N73" s="58">
        <f t="shared" si="0"/>
        <v>-4900</v>
      </c>
    </row>
    <row r="74" spans="1:15">
      <c r="A74" s="1"/>
      <c r="B74" s="1"/>
      <c r="C74" s="1"/>
      <c r="D74" s="1"/>
      <c r="E74" s="1"/>
      <c r="F74" s="1" t="s">
        <v>49</v>
      </c>
      <c r="G74" s="1"/>
      <c r="H74" s="58">
        <v>1200</v>
      </c>
      <c r="I74" s="58"/>
      <c r="J74" s="58">
        <v>946.37</v>
      </c>
      <c r="K74" s="58"/>
      <c r="L74" s="58">
        <v>1200</v>
      </c>
      <c r="M74" s="58"/>
      <c r="N74" s="58">
        <f t="shared" si="0"/>
        <v>0</v>
      </c>
    </row>
    <row r="75" spans="1:15">
      <c r="A75" s="1"/>
      <c r="B75" s="1"/>
      <c r="C75" s="1"/>
      <c r="D75" s="1"/>
      <c r="E75" s="1"/>
      <c r="F75" s="1" t="s">
        <v>50</v>
      </c>
      <c r="G75" s="1"/>
      <c r="H75" s="58">
        <v>7500</v>
      </c>
      <c r="I75" s="58"/>
      <c r="J75" s="58">
        <v>6510.74</v>
      </c>
      <c r="K75" s="58"/>
      <c r="L75" s="58">
        <v>9000</v>
      </c>
      <c r="M75" s="58"/>
      <c r="N75" s="58">
        <f t="shared" si="0"/>
        <v>-1500</v>
      </c>
    </row>
    <row r="76" spans="1:15">
      <c r="A76" s="1"/>
      <c r="B76" s="1"/>
      <c r="C76" s="1"/>
      <c r="D76" s="1"/>
      <c r="E76" s="1"/>
      <c r="F76" s="1" t="s">
        <v>51</v>
      </c>
      <c r="G76" s="1"/>
      <c r="H76" s="58">
        <v>1000</v>
      </c>
      <c r="I76" s="58"/>
      <c r="J76" s="58">
        <v>198.26</v>
      </c>
      <c r="K76" s="58"/>
      <c r="L76" s="58">
        <v>1000</v>
      </c>
      <c r="M76" s="58"/>
      <c r="N76" s="58">
        <f t="shared" si="0"/>
        <v>0</v>
      </c>
    </row>
    <row r="77" spans="1:15">
      <c r="A77" s="1"/>
      <c r="B77" s="1"/>
      <c r="C77" s="1"/>
      <c r="D77" s="1"/>
      <c r="E77" s="1"/>
      <c r="F77" s="1" t="s">
        <v>52</v>
      </c>
      <c r="G77" s="1"/>
      <c r="H77" s="58">
        <v>1200</v>
      </c>
      <c r="I77" s="58"/>
      <c r="J77" s="58">
        <v>812.24</v>
      </c>
      <c r="K77" s="58"/>
      <c r="L77" s="58">
        <v>1200</v>
      </c>
      <c r="M77" s="58"/>
      <c r="N77" s="58">
        <f t="shared" si="0"/>
        <v>0</v>
      </c>
    </row>
    <row r="78" spans="1:15">
      <c r="A78" s="1"/>
      <c r="B78" s="1"/>
      <c r="C78" s="1"/>
      <c r="D78" s="1"/>
      <c r="E78" s="1"/>
      <c r="F78" s="1" t="s">
        <v>53</v>
      </c>
      <c r="G78" s="1"/>
      <c r="H78" s="58">
        <v>750</v>
      </c>
      <c r="I78" s="58"/>
      <c r="J78" s="58">
        <v>434.71</v>
      </c>
      <c r="K78" s="58"/>
      <c r="L78" s="58">
        <v>1500</v>
      </c>
      <c r="M78" s="58"/>
      <c r="N78" s="58">
        <f t="shared" si="0"/>
        <v>-750</v>
      </c>
    </row>
    <row r="79" spans="1:15">
      <c r="A79" s="1"/>
      <c r="B79" s="1"/>
      <c r="C79" s="1"/>
      <c r="D79" s="1"/>
      <c r="E79" s="1"/>
      <c r="F79" s="1" t="s">
        <v>54</v>
      </c>
      <c r="G79" s="1"/>
      <c r="H79" s="58"/>
      <c r="I79" s="58"/>
      <c r="J79" s="58"/>
      <c r="K79" s="58"/>
      <c r="L79" s="58"/>
      <c r="M79" s="58"/>
      <c r="N79" s="58">
        <f t="shared" si="0"/>
        <v>0</v>
      </c>
    </row>
    <row r="80" spans="1:15">
      <c r="A80" s="1"/>
      <c r="B80" s="1"/>
      <c r="C80" s="1"/>
      <c r="D80" s="1"/>
      <c r="E80" s="1"/>
      <c r="F80" s="1"/>
      <c r="G80" s="1" t="s">
        <v>55</v>
      </c>
      <c r="H80" s="58">
        <v>2000</v>
      </c>
      <c r="I80" s="58"/>
      <c r="J80" s="58">
        <v>1035.43</v>
      </c>
      <c r="K80" s="58"/>
      <c r="L80" s="58">
        <v>5000</v>
      </c>
      <c r="M80" s="58"/>
      <c r="N80" s="58">
        <f t="shared" si="0"/>
        <v>-3000</v>
      </c>
    </row>
    <row r="81" spans="1:15">
      <c r="A81" s="1"/>
      <c r="B81" s="1"/>
      <c r="C81" s="1"/>
      <c r="D81" s="1"/>
      <c r="E81" s="1"/>
      <c r="F81" s="1"/>
      <c r="G81" s="1" t="s">
        <v>56</v>
      </c>
      <c r="H81" s="58">
        <v>7500</v>
      </c>
      <c r="I81" s="58"/>
      <c r="J81" s="58">
        <v>6755</v>
      </c>
      <c r="K81" s="58"/>
      <c r="L81" s="58">
        <v>5000</v>
      </c>
      <c r="M81" s="58"/>
      <c r="N81" s="58">
        <f t="shared" ref="N81:N145" si="2">H81-L81</f>
        <v>2500</v>
      </c>
    </row>
    <row r="82" spans="1:15">
      <c r="A82" s="1"/>
      <c r="B82" s="1"/>
      <c r="C82" s="1"/>
      <c r="D82" s="1"/>
      <c r="E82" s="1"/>
      <c r="F82" s="1"/>
      <c r="G82" s="1" t="s">
        <v>57</v>
      </c>
      <c r="H82" s="58">
        <v>750</v>
      </c>
      <c r="I82" s="58"/>
      <c r="J82" s="58">
        <v>849.1</v>
      </c>
      <c r="K82" s="58"/>
      <c r="L82" s="58">
        <v>500</v>
      </c>
      <c r="M82" s="58"/>
      <c r="N82" s="58">
        <f t="shared" si="2"/>
        <v>250</v>
      </c>
    </row>
    <row r="83" spans="1:15">
      <c r="A83" s="1"/>
      <c r="B83" s="1"/>
      <c r="C83" s="1"/>
      <c r="D83" s="1"/>
      <c r="E83" s="1"/>
      <c r="F83" s="1"/>
      <c r="G83" s="1" t="s">
        <v>58</v>
      </c>
      <c r="H83" s="58">
        <v>4800</v>
      </c>
      <c r="I83" s="58"/>
      <c r="J83" s="58">
        <v>2871.89</v>
      </c>
      <c r="K83" s="58"/>
      <c r="L83" s="58">
        <v>2500</v>
      </c>
      <c r="M83" s="58"/>
      <c r="N83" s="58">
        <f t="shared" si="2"/>
        <v>2300</v>
      </c>
      <c r="O83" t="s">
        <v>192</v>
      </c>
    </row>
    <row r="84" spans="1:15" ht="15.75" thickBot="1">
      <c r="A84" s="1"/>
      <c r="B84" s="1"/>
      <c r="C84" s="1"/>
      <c r="D84" s="1"/>
      <c r="E84" s="1"/>
      <c r="F84" s="1"/>
      <c r="G84" s="1" t="s">
        <v>59</v>
      </c>
      <c r="H84" s="59">
        <v>600</v>
      </c>
      <c r="I84" s="58"/>
      <c r="J84" s="59">
        <v>600</v>
      </c>
      <c r="K84" s="58"/>
      <c r="L84" s="59">
        <v>300</v>
      </c>
      <c r="M84" s="58"/>
      <c r="N84" s="59">
        <f t="shared" si="2"/>
        <v>300</v>
      </c>
    </row>
    <row r="85" spans="1:15">
      <c r="A85" s="1"/>
      <c r="B85" s="1"/>
      <c r="C85" s="1"/>
      <c r="D85" s="1"/>
      <c r="E85" s="1"/>
      <c r="F85" s="1" t="s">
        <v>60</v>
      </c>
      <c r="G85" s="1"/>
      <c r="H85" s="58">
        <f>ROUND(SUM(H79:H84),5)</f>
        <v>15650</v>
      </c>
      <c r="I85" s="58"/>
      <c r="J85" s="58">
        <f>ROUND(SUM(J79:J84),5)</f>
        <v>12111.42</v>
      </c>
      <c r="K85" s="58"/>
      <c r="L85" s="58">
        <f>ROUND(SUM(L79:L84),5)</f>
        <v>13300</v>
      </c>
      <c r="M85" s="58"/>
      <c r="N85" s="58">
        <f t="shared" si="2"/>
        <v>2350</v>
      </c>
    </row>
    <row r="86" spans="1:15">
      <c r="A86" s="1"/>
      <c r="B86" s="1"/>
      <c r="C86" s="1"/>
      <c r="D86" s="1"/>
      <c r="E86" s="1"/>
      <c r="F86" s="1" t="s">
        <v>61</v>
      </c>
      <c r="G86" s="1"/>
      <c r="H86" s="58"/>
      <c r="I86" s="58"/>
      <c r="J86" s="58"/>
      <c r="K86" s="58"/>
      <c r="L86" s="58"/>
      <c r="M86" s="58"/>
      <c r="N86" s="58"/>
    </row>
    <row r="87" spans="1:15">
      <c r="A87" s="1"/>
      <c r="B87" s="1"/>
      <c r="C87" s="1"/>
      <c r="D87" s="1"/>
      <c r="E87" s="1"/>
      <c r="F87" s="1"/>
      <c r="G87" s="1" t="s">
        <v>62</v>
      </c>
      <c r="H87" s="66">
        <v>2000</v>
      </c>
      <c r="I87" s="58"/>
      <c r="J87" s="58">
        <v>0</v>
      </c>
      <c r="K87" s="58"/>
      <c r="L87" s="58">
        <v>770</v>
      </c>
      <c r="M87" s="58"/>
      <c r="N87" s="58">
        <f t="shared" si="2"/>
        <v>1230</v>
      </c>
      <c r="O87" t="s">
        <v>213</v>
      </c>
    </row>
    <row r="88" spans="1:15">
      <c r="A88" s="1"/>
      <c r="B88" s="1"/>
      <c r="C88" s="1"/>
      <c r="D88" s="1"/>
      <c r="E88" s="1"/>
      <c r="F88" s="1"/>
      <c r="G88" s="1" t="s">
        <v>63</v>
      </c>
      <c r="H88" s="58">
        <v>37000</v>
      </c>
      <c r="I88" s="58"/>
      <c r="J88" s="58">
        <v>27692.400000000001</v>
      </c>
      <c r="K88" s="58"/>
      <c r="L88" s="58">
        <v>36000</v>
      </c>
      <c r="M88" s="58"/>
      <c r="N88" s="58">
        <f t="shared" si="2"/>
        <v>1000</v>
      </c>
    </row>
    <row r="89" spans="1:15" ht="15.75" thickBot="1">
      <c r="A89" s="1"/>
      <c r="B89" s="1"/>
      <c r="C89" s="1"/>
      <c r="D89" s="1"/>
      <c r="E89" s="1"/>
      <c r="F89" s="1"/>
      <c r="G89" s="1" t="s">
        <v>64</v>
      </c>
      <c r="H89" s="59">
        <v>10000</v>
      </c>
      <c r="I89" s="58"/>
      <c r="J89" s="59">
        <v>10000</v>
      </c>
      <c r="K89" s="58"/>
      <c r="L89" s="59">
        <v>6250</v>
      </c>
      <c r="M89" s="58"/>
      <c r="N89" s="59">
        <f t="shared" si="2"/>
        <v>3750</v>
      </c>
    </row>
    <row r="90" spans="1:15">
      <c r="A90" s="1"/>
      <c r="B90" s="1"/>
      <c r="C90" s="1"/>
      <c r="D90" s="1"/>
      <c r="E90" s="1"/>
      <c r="F90" s="1" t="s">
        <v>65</v>
      </c>
      <c r="G90" s="1"/>
      <c r="H90" s="58">
        <f>ROUND(SUM(H86:H89),5)</f>
        <v>49000</v>
      </c>
      <c r="I90" s="58"/>
      <c r="J90" s="58">
        <f>ROUND(SUM(J86:J89),5)</f>
        <v>37692.400000000001</v>
      </c>
      <c r="K90" s="58"/>
      <c r="L90" s="58">
        <f>ROUND(SUM(L86:L89),5)</f>
        <v>43020</v>
      </c>
      <c r="M90" s="58"/>
      <c r="N90" s="58">
        <f t="shared" si="2"/>
        <v>5980</v>
      </c>
    </row>
    <row r="91" spans="1:15">
      <c r="A91" s="1"/>
      <c r="B91" s="1"/>
      <c r="C91" s="1"/>
      <c r="D91" s="1"/>
      <c r="E91" s="1"/>
      <c r="F91" s="1" t="s">
        <v>66</v>
      </c>
      <c r="G91" s="1"/>
      <c r="H91" s="58">
        <v>12000</v>
      </c>
      <c r="I91" s="58"/>
      <c r="J91" s="58">
        <v>10886.64</v>
      </c>
      <c r="K91" s="58"/>
      <c r="L91" s="58">
        <v>15000</v>
      </c>
      <c r="M91" s="58"/>
      <c r="N91" s="58">
        <f t="shared" si="2"/>
        <v>-3000</v>
      </c>
    </row>
    <row r="92" spans="1:15">
      <c r="A92" s="1"/>
      <c r="B92" s="1"/>
      <c r="C92" s="1"/>
      <c r="D92" s="1"/>
      <c r="E92" s="1"/>
      <c r="F92" s="1" t="s">
        <v>67</v>
      </c>
      <c r="G92" s="1"/>
      <c r="H92" s="58">
        <v>3000</v>
      </c>
      <c r="I92" s="58"/>
      <c r="J92" s="58">
        <v>1703.28</v>
      </c>
      <c r="K92" s="58"/>
      <c r="L92" s="58">
        <v>3000</v>
      </c>
      <c r="M92" s="58"/>
      <c r="N92" s="58">
        <f t="shared" si="2"/>
        <v>0</v>
      </c>
    </row>
    <row r="93" spans="1:15">
      <c r="A93" s="1"/>
      <c r="B93" s="1"/>
      <c r="C93" s="1"/>
      <c r="D93" s="1"/>
      <c r="E93" s="1"/>
      <c r="F93" s="1" t="s">
        <v>68</v>
      </c>
      <c r="G93" s="1"/>
      <c r="H93" s="58">
        <v>15000</v>
      </c>
      <c r="I93" s="58"/>
      <c r="J93" s="58">
        <v>9735.73</v>
      </c>
      <c r="K93" s="58"/>
      <c r="L93" s="58">
        <v>15000</v>
      </c>
      <c r="M93" s="58"/>
      <c r="N93" s="58">
        <f t="shared" si="2"/>
        <v>0</v>
      </c>
    </row>
    <row r="94" spans="1:15">
      <c r="A94" s="1"/>
      <c r="B94" s="1"/>
      <c r="C94" s="1"/>
      <c r="D94" s="1"/>
      <c r="E94" s="1"/>
      <c r="F94" s="1" t="s">
        <v>69</v>
      </c>
      <c r="G94" s="1"/>
      <c r="H94" s="58"/>
      <c r="I94" s="58"/>
      <c r="J94" s="58"/>
      <c r="K94" s="58"/>
      <c r="L94" s="58"/>
      <c r="M94" s="58"/>
      <c r="N94" s="58"/>
    </row>
    <row r="95" spans="1:15">
      <c r="A95" s="1"/>
      <c r="B95" s="1"/>
      <c r="C95" s="1"/>
      <c r="D95" s="1"/>
      <c r="E95" s="1"/>
      <c r="F95" s="1"/>
      <c r="G95" s="1" t="s">
        <v>70</v>
      </c>
      <c r="H95" s="58">
        <v>500</v>
      </c>
      <c r="I95" s="58"/>
      <c r="J95" s="58">
        <v>0</v>
      </c>
      <c r="K95" s="58"/>
      <c r="L95" s="58">
        <v>500</v>
      </c>
      <c r="M95" s="58"/>
      <c r="N95" s="58">
        <f t="shared" si="2"/>
        <v>0</v>
      </c>
    </row>
    <row r="96" spans="1:15">
      <c r="A96" s="1"/>
      <c r="B96" s="1"/>
      <c r="C96" s="1"/>
      <c r="D96" s="1"/>
      <c r="E96" s="1"/>
      <c r="F96" s="1"/>
      <c r="G96" s="1" t="s">
        <v>71</v>
      </c>
      <c r="H96" s="58">
        <v>2500</v>
      </c>
      <c r="I96" s="58"/>
      <c r="J96" s="58">
        <v>123.85</v>
      </c>
      <c r="K96" s="58"/>
      <c r="L96" s="58">
        <v>2500</v>
      </c>
      <c r="M96" s="58"/>
      <c r="N96" s="58">
        <f t="shared" si="2"/>
        <v>0</v>
      </c>
    </row>
    <row r="97" spans="1:15">
      <c r="A97" s="1"/>
      <c r="B97" s="1"/>
      <c r="C97" s="1"/>
      <c r="D97" s="1"/>
      <c r="E97" s="1"/>
      <c r="F97" s="1"/>
      <c r="G97" s="1" t="s">
        <v>8</v>
      </c>
      <c r="H97" s="66">
        <v>45000</v>
      </c>
      <c r="I97" s="58"/>
      <c r="J97" s="58">
        <v>438.92</v>
      </c>
      <c r="K97" s="58"/>
      <c r="L97" s="58">
        <v>20000</v>
      </c>
      <c r="M97" s="58"/>
      <c r="N97" s="58">
        <f t="shared" si="2"/>
        <v>25000</v>
      </c>
    </row>
    <row r="98" spans="1:15">
      <c r="A98" s="1"/>
      <c r="B98" s="1"/>
      <c r="C98" s="1"/>
      <c r="D98" s="1"/>
      <c r="E98" s="1"/>
      <c r="F98" s="1"/>
      <c r="G98" s="1" t="s">
        <v>72</v>
      </c>
      <c r="H98" s="58">
        <v>500</v>
      </c>
      <c r="I98" s="58"/>
      <c r="J98" s="58">
        <v>971.64</v>
      </c>
      <c r="K98" s="58"/>
      <c r="L98" s="58">
        <v>500</v>
      </c>
      <c r="M98" s="58"/>
      <c r="N98" s="58">
        <f t="shared" si="2"/>
        <v>0</v>
      </c>
    </row>
    <row r="99" spans="1:15">
      <c r="A99" s="1"/>
      <c r="B99" s="1"/>
      <c r="C99" s="1"/>
      <c r="D99" s="1"/>
      <c r="E99" s="1"/>
      <c r="F99" s="1"/>
      <c r="G99" s="1" t="s">
        <v>73</v>
      </c>
      <c r="H99" s="58">
        <v>3000</v>
      </c>
      <c r="I99" s="58"/>
      <c r="J99" s="58">
        <v>1575.51</v>
      </c>
      <c r="K99" s="58"/>
      <c r="L99" s="58">
        <v>3000</v>
      </c>
      <c r="M99" s="58"/>
      <c r="N99" s="58">
        <f t="shared" si="2"/>
        <v>0</v>
      </c>
    </row>
    <row r="100" spans="1:15" ht="15.75" thickBot="1">
      <c r="A100" s="1"/>
      <c r="B100" s="1"/>
      <c r="C100" s="1"/>
      <c r="D100" s="1"/>
      <c r="E100" s="1"/>
      <c r="F100" s="1"/>
      <c r="G100" s="1" t="s">
        <v>74</v>
      </c>
      <c r="H100" s="59">
        <v>7500</v>
      </c>
      <c r="I100" s="58"/>
      <c r="J100" s="59">
        <v>4872.79</v>
      </c>
      <c r="K100" s="58"/>
      <c r="L100" s="59">
        <v>10000</v>
      </c>
      <c r="M100" s="58"/>
      <c r="N100" s="59">
        <f t="shared" si="2"/>
        <v>-2500</v>
      </c>
    </row>
    <row r="101" spans="1:15">
      <c r="A101" s="1"/>
      <c r="B101" s="1"/>
      <c r="C101" s="1"/>
      <c r="D101" s="1"/>
      <c r="E101" s="1"/>
      <c r="F101" s="1" t="s">
        <v>75</v>
      </c>
      <c r="G101" s="1"/>
      <c r="H101" s="58">
        <f>ROUND(SUM(H94:H100),5)</f>
        <v>59000</v>
      </c>
      <c r="I101" s="58"/>
      <c r="J101" s="58">
        <f>ROUND(SUM(J94:J100),5)</f>
        <v>7982.71</v>
      </c>
      <c r="K101" s="58"/>
      <c r="L101" s="58">
        <f>ROUND(SUM(L94:L100),5)</f>
        <v>36500</v>
      </c>
      <c r="M101" s="58"/>
      <c r="N101" s="58">
        <f t="shared" si="2"/>
        <v>22500</v>
      </c>
    </row>
    <row r="102" spans="1:15">
      <c r="A102" s="1"/>
      <c r="B102" s="1"/>
      <c r="C102" s="1"/>
      <c r="D102" s="1"/>
      <c r="E102" s="1"/>
      <c r="F102" s="1" t="s">
        <v>76</v>
      </c>
      <c r="G102" s="1"/>
      <c r="H102" s="58">
        <f>8000-736+110-167</f>
        <v>7207</v>
      </c>
      <c r="I102" s="58"/>
      <c r="J102" s="58">
        <v>5226.51</v>
      </c>
      <c r="K102" s="58"/>
      <c r="L102" s="58">
        <v>8500</v>
      </c>
      <c r="M102" s="58"/>
      <c r="N102" s="58">
        <f t="shared" si="2"/>
        <v>-1293</v>
      </c>
    </row>
    <row r="103" spans="1:15">
      <c r="A103" s="1"/>
      <c r="B103" s="1"/>
      <c r="C103" s="1"/>
      <c r="D103" s="1"/>
      <c r="E103" s="1"/>
      <c r="F103" s="1" t="s">
        <v>77</v>
      </c>
      <c r="G103" s="1"/>
      <c r="H103" s="58"/>
      <c r="I103" s="58"/>
      <c r="J103" s="58"/>
      <c r="K103" s="58"/>
      <c r="L103" s="58"/>
      <c r="M103" s="58"/>
      <c r="N103" s="58"/>
    </row>
    <row r="104" spans="1:15">
      <c r="A104" s="1"/>
      <c r="B104" s="1"/>
      <c r="C104" s="1"/>
      <c r="D104" s="1"/>
      <c r="E104" s="1"/>
      <c r="F104" s="1"/>
      <c r="G104" s="1" t="s">
        <v>78</v>
      </c>
      <c r="H104" s="58">
        <v>2100</v>
      </c>
      <c r="I104" s="58"/>
      <c r="J104" s="58">
        <v>1000.35</v>
      </c>
      <c r="K104" s="58"/>
      <c r="L104" s="58">
        <v>2100</v>
      </c>
      <c r="M104" s="58"/>
      <c r="N104" s="58">
        <f t="shared" si="2"/>
        <v>0</v>
      </c>
    </row>
    <row r="105" spans="1:15">
      <c r="A105" s="1"/>
      <c r="B105" s="1"/>
      <c r="C105" s="1"/>
      <c r="D105" s="1"/>
      <c r="E105" s="1"/>
      <c r="F105" s="1"/>
      <c r="G105" s="1" t="s">
        <v>79</v>
      </c>
      <c r="H105" s="58">
        <v>651</v>
      </c>
      <c r="I105" s="58"/>
      <c r="J105" s="58">
        <v>1468.86</v>
      </c>
      <c r="K105" s="58"/>
      <c r="L105" s="58">
        <v>1000</v>
      </c>
      <c r="M105" s="58"/>
      <c r="N105" s="58">
        <f t="shared" si="2"/>
        <v>-349</v>
      </c>
      <c r="O105" t="s">
        <v>212</v>
      </c>
    </row>
    <row r="106" spans="1:15">
      <c r="A106" s="1"/>
      <c r="B106" s="1"/>
      <c r="C106" s="1"/>
      <c r="D106" s="1"/>
      <c r="E106" s="1"/>
      <c r="F106" s="1"/>
      <c r="G106" s="1" t="s">
        <v>80</v>
      </c>
      <c r="H106" s="58">
        <v>3500</v>
      </c>
      <c r="I106" s="58"/>
      <c r="J106" s="58">
        <v>2500.92</v>
      </c>
      <c r="K106" s="58"/>
      <c r="L106" s="58">
        <v>4000</v>
      </c>
      <c r="M106" s="58"/>
      <c r="N106" s="58">
        <f t="shared" si="2"/>
        <v>-500</v>
      </c>
    </row>
    <row r="107" spans="1:15" ht="15.75" thickBot="1">
      <c r="A107" s="1"/>
      <c r="B107" s="1"/>
      <c r="C107" s="1"/>
      <c r="D107" s="1"/>
      <c r="E107" s="1"/>
      <c r="F107" s="1"/>
      <c r="G107" s="1" t="s">
        <v>81</v>
      </c>
      <c r="H107" s="59">
        <v>3500</v>
      </c>
      <c r="I107" s="58"/>
      <c r="J107" s="59">
        <v>3634.59</v>
      </c>
      <c r="K107" s="58"/>
      <c r="L107" s="59">
        <v>4000</v>
      </c>
      <c r="M107" s="58"/>
      <c r="N107" s="59">
        <f t="shared" si="2"/>
        <v>-500</v>
      </c>
    </row>
    <row r="108" spans="1:15">
      <c r="A108" s="1"/>
      <c r="B108" s="1"/>
      <c r="C108" s="1"/>
      <c r="D108" s="1"/>
      <c r="E108" s="1"/>
      <c r="F108" s="1" t="s">
        <v>82</v>
      </c>
      <c r="G108" s="1"/>
      <c r="H108" s="58">
        <f>SUM(H104:H107)</f>
        <v>9751</v>
      </c>
      <c r="I108" s="58"/>
      <c r="J108" s="58">
        <f>ROUND(SUM(J103:J107),5)</f>
        <v>8604.7199999999993</v>
      </c>
      <c r="K108" s="58"/>
      <c r="L108" s="58">
        <f>ROUND(SUM(L103:L107),5)</f>
        <v>11100</v>
      </c>
      <c r="M108" s="58"/>
      <c r="N108" s="58">
        <f t="shared" si="2"/>
        <v>-1349</v>
      </c>
    </row>
    <row r="109" spans="1:15">
      <c r="A109" s="1"/>
      <c r="B109" s="1"/>
      <c r="C109" s="1"/>
      <c r="D109" s="1"/>
      <c r="E109" s="1"/>
      <c r="F109" s="1" t="s">
        <v>83</v>
      </c>
      <c r="G109" s="1"/>
      <c r="H109" s="58">
        <v>400</v>
      </c>
      <c r="I109" s="58"/>
      <c r="J109" s="58">
        <v>391.78</v>
      </c>
      <c r="K109" s="58"/>
      <c r="L109" s="58">
        <v>750</v>
      </c>
      <c r="M109" s="58"/>
      <c r="N109" s="58">
        <f t="shared" si="2"/>
        <v>-350</v>
      </c>
    </row>
    <row r="110" spans="1:15">
      <c r="A110" s="1"/>
      <c r="B110" s="1"/>
      <c r="C110" s="1"/>
      <c r="D110" s="1"/>
      <c r="E110" s="1"/>
      <c r="F110" s="1" t="s">
        <v>84</v>
      </c>
      <c r="G110" s="1"/>
      <c r="H110" s="66">
        <v>18000</v>
      </c>
      <c r="I110" s="58"/>
      <c r="J110" s="58">
        <v>14064.85</v>
      </c>
      <c r="K110" s="58"/>
      <c r="L110" s="58">
        <v>20500</v>
      </c>
      <c r="M110" s="58"/>
      <c r="N110" s="58">
        <f t="shared" si="2"/>
        <v>-2500</v>
      </c>
    </row>
    <row r="111" spans="1:15">
      <c r="A111" s="1"/>
      <c r="B111" s="1"/>
      <c r="C111" s="1"/>
      <c r="D111" s="1"/>
      <c r="E111" s="1"/>
      <c r="F111" s="1" t="s">
        <v>85</v>
      </c>
      <c r="G111" s="1"/>
      <c r="H111" s="58">
        <v>39000</v>
      </c>
      <c r="I111" s="58"/>
      <c r="J111" s="58">
        <v>37748.54</v>
      </c>
      <c r="K111" s="58"/>
      <c r="L111" s="58">
        <v>48150</v>
      </c>
      <c r="M111" s="58"/>
      <c r="N111" s="58">
        <f t="shared" si="2"/>
        <v>-9150</v>
      </c>
      <c r="O111" s="76" t="s">
        <v>214</v>
      </c>
    </row>
    <row r="112" spans="1:15">
      <c r="A112" s="1"/>
      <c r="B112" s="1"/>
      <c r="C112" s="1"/>
      <c r="D112" s="1"/>
      <c r="E112" s="1"/>
      <c r="F112" s="1" t="s">
        <v>86</v>
      </c>
      <c r="G112" s="1"/>
      <c r="H112" s="58">
        <v>2400</v>
      </c>
      <c r="I112" s="58"/>
      <c r="J112" s="58">
        <v>2001.29</v>
      </c>
      <c r="K112" s="58"/>
      <c r="L112" s="58">
        <v>3500</v>
      </c>
      <c r="M112" s="58"/>
      <c r="N112" s="58">
        <f t="shared" si="2"/>
        <v>-1100</v>
      </c>
    </row>
    <row r="113" spans="1:14">
      <c r="A113" s="1"/>
      <c r="B113" s="1"/>
      <c r="C113" s="1"/>
      <c r="D113" s="1"/>
      <c r="E113" s="1"/>
      <c r="F113" s="1" t="s">
        <v>87</v>
      </c>
      <c r="G113" s="1"/>
      <c r="H113" s="58">
        <v>500</v>
      </c>
      <c r="I113" s="58"/>
      <c r="J113" s="58">
        <v>0</v>
      </c>
      <c r="K113" s="58"/>
      <c r="L113" s="58">
        <v>500</v>
      </c>
      <c r="M113" s="58"/>
      <c r="N113" s="58">
        <f t="shared" si="2"/>
        <v>0</v>
      </c>
    </row>
    <row r="114" spans="1:14">
      <c r="A114" s="1"/>
      <c r="B114" s="1"/>
      <c r="C114" s="1"/>
      <c r="D114" s="1"/>
      <c r="E114" s="1"/>
      <c r="F114" s="1" t="s">
        <v>88</v>
      </c>
      <c r="G114" s="1"/>
      <c r="H114" s="58"/>
      <c r="I114" s="58"/>
      <c r="J114" s="58"/>
      <c r="K114" s="58"/>
      <c r="L114" s="58"/>
      <c r="M114" s="58"/>
      <c r="N114" s="58"/>
    </row>
    <row r="115" spans="1:14">
      <c r="A115" s="1"/>
      <c r="B115" s="1"/>
      <c r="C115" s="1"/>
      <c r="D115" s="1"/>
      <c r="E115" s="1"/>
      <c r="F115" s="1"/>
      <c r="G115" s="1" t="s">
        <v>89</v>
      </c>
      <c r="H115" s="58">
        <v>5000</v>
      </c>
      <c r="I115" s="58"/>
      <c r="J115" s="58">
        <v>1351</v>
      </c>
      <c r="K115" s="58"/>
      <c r="L115" s="58">
        <v>5000</v>
      </c>
      <c r="M115" s="58"/>
      <c r="N115" s="58">
        <f t="shared" si="2"/>
        <v>0</v>
      </c>
    </row>
    <row r="116" spans="1:14">
      <c r="A116" s="1"/>
      <c r="B116" s="1"/>
      <c r="C116" s="1"/>
      <c r="D116" s="1"/>
      <c r="E116" s="1"/>
      <c r="F116" s="1"/>
      <c r="G116" s="1" t="s">
        <v>90</v>
      </c>
      <c r="H116" s="58">
        <v>2500</v>
      </c>
      <c r="I116" s="58"/>
      <c r="J116" s="58">
        <v>1545.04</v>
      </c>
      <c r="K116" s="58"/>
      <c r="L116" s="58">
        <v>2500</v>
      </c>
      <c r="M116" s="58"/>
      <c r="N116" s="58">
        <f t="shared" si="2"/>
        <v>0</v>
      </c>
    </row>
    <row r="117" spans="1:14" ht="15.75" thickBot="1">
      <c r="A117" s="1"/>
      <c r="B117" s="1"/>
      <c r="C117" s="1"/>
      <c r="D117" s="1"/>
      <c r="E117" s="1"/>
      <c r="F117" s="1"/>
      <c r="G117" s="1" t="s">
        <v>91</v>
      </c>
      <c r="H117" s="59">
        <v>500</v>
      </c>
      <c r="I117" s="58"/>
      <c r="J117" s="59">
        <v>15</v>
      </c>
      <c r="K117" s="58"/>
      <c r="L117" s="59">
        <v>1000</v>
      </c>
      <c r="M117" s="58"/>
      <c r="N117" s="59">
        <f t="shared" si="2"/>
        <v>-500</v>
      </c>
    </row>
    <row r="118" spans="1:14">
      <c r="A118" s="1"/>
      <c r="B118" s="1"/>
      <c r="C118" s="1"/>
      <c r="D118" s="1"/>
      <c r="E118" s="1"/>
      <c r="F118" s="1" t="s">
        <v>92</v>
      </c>
      <c r="G118" s="1"/>
      <c r="H118" s="58">
        <f>SUM(H115:H117)</f>
        <v>8000</v>
      </c>
      <c r="I118" s="58"/>
      <c r="J118" s="58">
        <f>SUM(J115:J117)</f>
        <v>2911.04</v>
      </c>
      <c r="K118" s="58"/>
      <c r="L118" s="58">
        <f>SUM(L115:L117)</f>
        <v>8500</v>
      </c>
      <c r="M118" s="58"/>
      <c r="N118" s="58">
        <f t="shared" si="2"/>
        <v>-500</v>
      </c>
    </row>
    <row r="119" spans="1:14">
      <c r="A119" s="1"/>
      <c r="B119" s="1"/>
      <c r="C119" s="1"/>
      <c r="D119" s="1"/>
      <c r="E119" s="1"/>
      <c r="F119" s="1" t="s">
        <v>93</v>
      </c>
      <c r="G119" s="1"/>
      <c r="H119" s="58"/>
      <c r="I119" s="58"/>
      <c r="J119" s="58"/>
      <c r="K119" s="58"/>
      <c r="L119" s="58"/>
      <c r="M119" s="58"/>
      <c r="N119" s="58"/>
    </row>
    <row r="120" spans="1:14">
      <c r="A120" s="1"/>
      <c r="B120" s="1"/>
      <c r="C120" s="1"/>
      <c r="D120" s="1"/>
      <c r="E120" s="1"/>
      <c r="F120" s="1"/>
      <c r="G120" s="1" t="s">
        <v>94</v>
      </c>
      <c r="H120" s="58">
        <v>600</v>
      </c>
      <c r="I120" s="58"/>
      <c r="J120" s="58">
        <v>400</v>
      </c>
      <c r="K120" s="58"/>
      <c r="L120" s="58">
        <v>600</v>
      </c>
      <c r="M120" s="58"/>
      <c r="N120" s="58">
        <f t="shared" si="2"/>
        <v>0</v>
      </c>
    </row>
    <row r="121" spans="1:14">
      <c r="A121" s="1"/>
      <c r="B121" s="1"/>
      <c r="C121" s="1"/>
      <c r="D121" s="1"/>
      <c r="E121" s="1"/>
      <c r="F121" s="1"/>
      <c r="G121" s="1" t="s">
        <v>95</v>
      </c>
      <c r="H121" s="58">
        <v>100</v>
      </c>
      <c r="I121" s="58"/>
      <c r="J121" s="58">
        <v>43.05</v>
      </c>
      <c r="K121" s="58"/>
      <c r="L121" s="58">
        <v>250</v>
      </c>
      <c r="M121" s="58"/>
      <c r="N121" s="58">
        <f t="shared" si="2"/>
        <v>-150</v>
      </c>
    </row>
    <row r="122" spans="1:14">
      <c r="A122" s="1"/>
      <c r="B122" s="1"/>
      <c r="C122" s="1"/>
      <c r="D122" s="1"/>
      <c r="E122" s="1"/>
      <c r="F122" s="1"/>
      <c r="G122" s="1" t="s">
        <v>96</v>
      </c>
      <c r="H122" s="58">
        <v>600</v>
      </c>
      <c r="I122" s="58"/>
      <c r="J122" s="58">
        <v>450</v>
      </c>
      <c r="K122" s="58"/>
      <c r="L122" s="58">
        <v>600</v>
      </c>
      <c r="M122" s="58"/>
      <c r="N122" s="58">
        <f t="shared" si="2"/>
        <v>0</v>
      </c>
    </row>
    <row r="123" spans="1:14">
      <c r="A123" s="1"/>
      <c r="B123" s="1"/>
      <c r="C123" s="1"/>
      <c r="D123" s="1"/>
      <c r="E123" s="1"/>
      <c r="F123" s="1"/>
      <c r="G123" s="1" t="s">
        <v>97</v>
      </c>
      <c r="H123" s="58">
        <v>600</v>
      </c>
      <c r="I123" s="58"/>
      <c r="J123" s="58">
        <v>450</v>
      </c>
      <c r="K123" s="58"/>
      <c r="L123" s="58">
        <v>600</v>
      </c>
      <c r="M123" s="58"/>
      <c r="N123" s="58">
        <f t="shared" si="2"/>
        <v>0</v>
      </c>
    </row>
    <row r="124" spans="1:14">
      <c r="A124" s="1"/>
      <c r="B124" s="1"/>
      <c r="C124" s="1"/>
      <c r="D124" s="1"/>
      <c r="E124" s="1"/>
      <c r="F124" s="1"/>
      <c r="G124" s="1" t="s">
        <v>98</v>
      </c>
      <c r="H124" s="58">
        <v>600</v>
      </c>
      <c r="I124" s="58"/>
      <c r="J124" s="58">
        <v>450</v>
      </c>
      <c r="K124" s="58"/>
      <c r="L124" s="58">
        <v>600</v>
      </c>
      <c r="M124" s="58"/>
      <c r="N124" s="58">
        <f t="shared" si="2"/>
        <v>0</v>
      </c>
    </row>
    <row r="125" spans="1:14">
      <c r="A125" s="1"/>
      <c r="B125" s="1"/>
      <c r="C125" s="1"/>
      <c r="D125" s="1"/>
      <c r="E125" s="1"/>
      <c r="F125" s="1"/>
      <c r="G125" s="1" t="s">
        <v>99</v>
      </c>
      <c r="H125" s="58">
        <v>600</v>
      </c>
      <c r="I125" s="58"/>
      <c r="J125" s="58">
        <v>400</v>
      </c>
      <c r="K125" s="58"/>
      <c r="L125" s="58">
        <v>600</v>
      </c>
      <c r="M125" s="58"/>
      <c r="N125" s="58">
        <f t="shared" si="2"/>
        <v>0</v>
      </c>
    </row>
    <row r="126" spans="1:14">
      <c r="A126" s="1"/>
      <c r="B126" s="1"/>
      <c r="C126" s="1"/>
      <c r="D126" s="1"/>
      <c r="E126" s="1"/>
      <c r="F126" s="1"/>
      <c r="G126" s="1" t="s">
        <v>100</v>
      </c>
      <c r="H126" s="58">
        <v>600</v>
      </c>
      <c r="I126" s="58"/>
      <c r="J126" s="58">
        <v>400</v>
      </c>
      <c r="K126" s="58"/>
      <c r="L126" s="58">
        <v>600</v>
      </c>
      <c r="M126" s="58"/>
      <c r="N126" s="58">
        <f t="shared" si="2"/>
        <v>0</v>
      </c>
    </row>
    <row r="127" spans="1:14">
      <c r="A127" s="1"/>
      <c r="B127" s="1"/>
      <c r="C127" s="1"/>
      <c r="D127" s="1"/>
      <c r="E127" s="1"/>
      <c r="F127" s="1"/>
      <c r="G127" s="1" t="s">
        <v>101</v>
      </c>
      <c r="H127" s="58">
        <v>600</v>
      </c>
      <c r="I127" s="58"/>
      <c r="J127" s="58">
        <v>450</v>
      </c>
      <c r="K127" s="58"/>
      <c r="L127" s="58">
        <v>600</v>
      </c>
      <c r="M127" s="58"/>
      <c r="N127" s="58">
        <f t="shared" si="2"/>
        <v>0</v>
      </c>
    </row>
    <row r="128" spans="1:14">
      <c r="A128" s="1"/>
      <c r="B128" s="1"/>
      <c r="C128" s="1"/>
      <c r="D128" s="1"/>
      <c r="E128" s="1"/>
      <c r="F128" s="1"/>
      <c r="G128" s="1" t="s">
        <v>102</v>
      </c>
      <c r="H128" s="58">
        <v>600</v>
      </c>
      <c r="I128" s="58"/>
      <c r="J128" s="58">
        <v>300</v>
      </c>
      <c r="K128" s="58"/>
      <c r="L128" s="58">
        <v>600</v>
      </c>
      <c r="M128" s="58"/>
      <c r="N128" s="58">
        <f t="shared" si="2"/>
        <v>0</v>
      </c>
    </row>
    <row r="129" spans="1:15">
      <c r="A129" s="1"/>
      <c r="B129" s="1"/>
      <c r="C129" s="1"/>
      <c r="D129" s="1"/>
      <c r="E129" s="1"/>
      <c r="F129" s="1"/>
      <c r="G129" s="1" t="s">
        <v>193</v>
      </c>
      <c r="H129" s="58">
        <v>0</v>
      </c>
      <c r="I129" s="58"/>
      <c r="J129" s="58">
        <v>50</v>
      </c>
      <c r="K129" s="58"/>
      <c r="L129" s="58">
        <v>600</v>
      </c>
      <c r="M129" s="58"/>
      <c r="N129" s="58">
        <f t="shared" si="2"/>
        <v>-600</v>
      </c>
    </row>
    <row r="130" spans="1:15">
      <c r="A130" s="1"/>
      <c r="B130" s="1"/>
      <c r="C130" s="1"/>
      <c r="D130" s="1"/>
      <c r="E130" s="1"/>
      <c r="F130" s="1"/>
      <c r="G130" s="1" t="s">
        <v>194</v>
      </c>
      <c r="H130" s="58">
        <v>0</v>
      </c>
      <c r="I130" s="58"/>
      <c r="J130" s="58">
        <v>50</v>
      </c>
      <c r="K130" s="58"/>
      <c r="L130" s="58">
        <v>600</v>
      </c>
      <c r="M130" s="58"/>
      <c r="N130" s="58">
        <f t="shared" si="2"/>
        <v>-600</v>
      </c>
    </row>
    <row r="131" spans="1:15">
      <c r="A131" s="1"/>
      <c r="B131" s="1"/>
      <c r="C131" s="1"/>
      <c r="D131" s="1"/>
      <c r="E131" s="1"/>
      <c r="F131" s="1"/>
      <c r="G131" s="1" t="s">
        <v>103</v>
      </c>
      <c r="H131" s="58">
        <v>600</v>
      </c>
      <c r="I131" s="58"/>
      <c r="J131" s="58">
        <v>301.27</v>
      </c>
      <c r="K131" s="58"/>
      <c r="L131" s="58">
        <v>600</v>
      </c>
      <c r="M131" s="58"/>
      <c r="N131" s="58">
        <f t="shared" si="2"/>
        <v>0</v>
      </c>
    </row>
    <row r="132" spans="1:15">
      <c r="A132" s="1"/>
      <c r="B132" s="1"/>
      <c r="C132" s="1"/>
      <c r="D132" s="1"/>
      <c r="E132" s="1"/>
      <c r="F132" s="1"/>
      <c r="G132" s="1" t="s">
        <v>104</v>
      </c>
      <c r="H132" s="58">
        <v>600</v>
      </c>
      <c r="I132" s="58"/>
      <c r="J132" s="58">
        <v>400</v>
      </c>
      <c r="K132" s="58"/>
      <c r="L132" s="58">
        <v>600</v>
      </c>
      <c r="M132" s="58"/>
      <c r="N132" s="58">
        <f t="shared" si="2"/>
        <v>0</v>
      </c>
    </row>
    <row r="133" spans="1:15" ht="15.75" thickBot="1">
      <c r="A133" s="1"/>
      <c r="B133" s="1"/>
      <c r="C133" s="1"/>
      <c r="D133" s="1"/>
      <c r="E133" s="1"/>
      <c r="F133" s="1"/>
      <c r="G133" s="1" t="s">
        <v>105</v>
      </c>
      <c r="H133" s="58">
        <v>4500</v>
      </c>
      <c r="I133" s="58"/>
      <c r="J133" s="60">
        <v>3084.36</v>
      </c>
      <c r="K133" s="58"/>
      <c r="L133" s="60">
        <v>4500</v>
      </c>
      <c r="M133" s="58"/>
      <c r="N133" s="59">
        <f t="shared" si="2"/>
        <v>0</v>
      </c>
    </row>
    <row r="134" spans="1:15" ht="15.75" thickBot="1">
      <c r="A134" s="1"/>
      <c r="B134" s="1"/>
      <c r="C134" s="1"/>
      <c r="D134" s="1"/>
      <c r="E134" s="1"/>
      <c r="F134" s="1" t="s">
        <v>106</v>
      </c>
      <c r="G134" s="1"/>
      <c r="H134" s="61">
        <f>ROUND(SUM(H119:H133),5)</f>
        <v>10600</v>
      </c>
      <c r="I134" s="58"/>
      <c r="J134" s="61">
        <f>ROUND(SUM(J119:J133),5)</f>
        <v>7228.68</v>
      </c>
      <c r="K134" s="58"/>
      <c r="L134" s="61">
        <f>ROUND(SUM(L119:L133),5)</f>
        <v>11950</v>
      </c>
      <c r="M134" s="58"/>
      <c r="N134" s="61">
        <f t="shared" si="2"/>
        <v>-1350</v>
      </c>
    </row>
    <row r="135" spans="1:15">
      <c r="A135" s="1"/>
      <c r="B135" s="1"/>
      <c r="C135" s="1"/>
      <c r="D135" s="1"/>
      <c r="E135" s="1" t="s">
        <v>107</v>
      </c>
      <c r="F135" s="1"/>
      <c r="G135" s="1"/>
      <c r="H135" s="58">
        <f>ROUND(SUM(H72:H78)+H85+SUM(H90:H93)+SUM(H101:H102)+SUM(H108:H113)+H118+H134,5)</f>
        <v>263758</v>
      </c>
      <c r="I135" s="58"/>
      <c r="J135" s="58">
        <f>ROUND(SUM(J72:J78)+J85+SUM(J90:J93)+SUM(J101:J102)+SUM(J108:J113)+J118+J134,5)</f>
        <v>167191.91</v>
      </c>
      <c r="K135" s="58"/>
      <c r="L135" s="58">
        <f>ROUND(SUM(L72:L78)+L85+SUM(L90:L93)+SUM(L101:L102)+SUM(L108:L113)+L118+L134,5)</f>
        <v>260670</v>
      </c>
      <c r="M135" s="58"/>
      <c r="N135" s="58">
        <f t="shared" si="2"/>
        <v>3088</v>
      </c>
    </row>
    <row r="136" spans="1:15">
      <c r="A136" s="1"/>
      <c r="B136" s="1"/>
      <c r="C136" s="1"/>
      <c r="D136" s="1"/>
      <c r="E136" s="1" t="s">
        <v>108</v>
      </c>
      <c r="F136" s="1"/>
      <c r="G136" s="1"/>
      <c r="H136" s="58"/>
      <c r="I136" s="58"/>
      <c r="J136" s="58"/>
      <c r="K136" s="58"/>
      <c r="L136" s="58"/>
      <c r="M136" s="58"/>
      <c r="N136" s="58"/>
    </row>
    <row r="137" spans="1:15">
      <c r="A137" s="1"/>
      <c r="B137" s="1"/>
      <c r="C137" s="1"/>
      <c r="D137" s="1"/>
      <c r="E137" s="1"/>
      <c r="F137" s="1" t="s">
        <v>109</v>
      </c>
      <c r="G137" s="1"/>
      <c r="H137" s="58">
        <f>Personnel!J2</f>
        <v>261466.71840000001</v>
      </c>
      <c r="I137" s="58"/>
      <c r="J137" s="58">
        <v>193317.56</v>
      </c>
      <c r="K137" s="58"/>
      <c r="L137" s="58">
        <v>238733</v>
      </c>
      <c r="M137" s="58"/>
      <c r="N137" s="66">
        <f t="shared" si="2"/>
        <v>22733.718400000012</v>
      </c>
      <c r="O137" t="s">
        <v>196</v>
      </c>
    </row>
    <row r="138" spans="1:15">
      <c r="A138" s="1"/>
      <c r="B138" s="1"/>
      <c r="C138" s="1"/>
      <c r="D138" s="1"/>
      <c r="E138" s="1"/>
      <c r="F138" s="1" t="s">
        <v>110</v>
      </c>
      <c r="G138" s="1"/>
      <c r="H138" s="58">
        <f>Personnel!J3</f>
        <v>355364.74</v>
      </c>
      <c r="I138" s="58"/>
      <c r="J138" s="58">
        <v>267735.46000000002</v>
      </c>
      <c r="K138" s="58"/>
      <c r="L138" s="58">
        <v>428132</v>
      </c>
      <c r="M138" s="58"/>
      <c r="N138" s="58">
        <f t="shared" si="2"/>
        <v>-72767.260000000009</v>
      </c>
      <c r="O138" t="s">
        <v>197</v>
      </c>
    </row>
    <row r="139" spans="1:15">
      <c r="A139" s="1"/>
      <c r="B139" s="1"/>
      <c r="C139" s="1"/>
      <c r="D139" s="1"/>
      <c r="E139" s="1"/>
      <c r="F139" s="1" t="s">
        <v>111</v>
      </c>
      <c r="G139" s="1"/>
      <c r="H139" s="58">
        <f>Personnel!J4</f>
        <v>74779.8</v>
      </c>
      <c r="I139" s="58"/>
      <c r="J139" s="58">
        <v>74347.929999999993</v>
      </c>
      <c r="K139" s="58"/>
      <c r="L139" s="58">
        <v>70203</v>
      </c>
      <c r="M139" s="58"/>
      <c r="N139" s="58">
        <f t="shared" si="2"/>
        <v>4576.8000000000029</v>
      </c>
      <c r="O139" t="s">
        <v>198</v>
      </c>
    </row>
    <row r="140" spans="1:15">
      <c r="A140" s="1"/>
      <c r="B140" s="1"/>
      <c r="C140" s="1"/>
      <c r="D140" s="1"/>
      <c r="E140" s="1"/>
      <c r="F140" s="1" t="s">
        <v>112</v>
      </c>
      <c r="G140" s="1"/>
      <c r="H140" s="58">
        <f>Personnel!J5</f>
        <v>62289.943255999984</v>
      </c>
      <c r="I140" s="58"/>
      <c r="J140" s="58">
        <v>41199.910000000003</v>
      </c>
      <c r="K140" s="58"/>
      <c r="L140" s="58">
        <v>70040</v>
      </c>
      <c r="M140" s="58"/>
      <c r="N140" s="58">
        <f t="shared" si="2"/>
        <v>-7750.0567440000159</v>
      </c>
      <c r="O140" t="s">
        <v>195</v>
      </c>
    </row>
    <row r="141" spans="1:15">
      <c r="A141" s="1"/>
      <c r="B141" s="1"/>
      <c r="C141" s="1"/>
      <c r="D141" s="1"/>
      <c r="E141" s="1"/>
      <c r="F141" s="1" t="s">
        <v>113</v>
      </c>
      <c r="G141" s="1"/>
      <c r="H141" s="58">
        <f>Personnel!J7</f>
        <v>77531.48000000001</v>
      </c>
      <c r="I141" s="58"/>
      <c r="J141" s="58">
        <v>42989.19</v>
      </c>
      <c r="K141" s="58"/>
      <c r="L141" s="58">
        <v>74098</v>
      </c>
      <c r="M141" s="58"/>
      <c r="N141" s="58">
        <f t="shared" si="2"/>
        <v>3433.4800000000105</v>
      </c>
      <c r="O141" t="s">
        <v>202</v>
      </c>
    </row>
    <row r="142" spans="1:15">
      <c r="A142" s="1"/>
      <c r="B142" s="1"/>
      <c r="C142" s="1"/>
      <c r="D142" s="1"/>
      <c r="E142" s="1"/>
      <c r="F142" s="1" t="s">
        <v>114</v>
      </c>
      <c r="G142" s="1"/>
      <c r="H142" s="58">
        <f>Personnel!J6</f>
        <v>4176.3829839999999</v>
      </c>
      <c r="I142" s="58"/>
      <c r="J142" s="58">
        <v>0</v>
      </c>
      <c r="K142" s="58"/>
      <c r="L142" s="58">
        <v>4656</v>
      </c>
      <c r="M142" s="58"/>
      <c r="N142" s="58">
        <f t="shared" si="2"/>
        <v>-479.61701600000015</v>
      </c>
    </row>
    <row r="143" spans="1:15" ht="15.75" thickBot="1">
      <c r="A143" s="1"/>
      <c r="B143" s="1"/>
      <c r="C143" s="1"/>
      <c r="D143" s="1"/>
      <c r="E143" s="1"/>
      <c r="F143" s="1" t="s">
        <v>115</v>
      </c>
      <c r="G143" s="1"/>
      <c r="H143" s="60">
        <f>Personnel!J8</f>
        <v>7000</v>
      </c>
      <c r="I143" s="58"/>
      <c r="J143" s="60">
        <v>0</v>
      </c>
      <c r="K143" s="58"/>
      <c r="L143" s="60">
        <v>7000</v>
      </c>
      <c r="M143" s="58"/>
      <c r="N143" s="59">
        <f t="shared" si="2"/>
        <v>0</v>
      </c>
    </row>
    <row r="144" spans="1:15" ht="15.75" thickBot="1">
      <c r="A144" s="1"/>
      <c r="B144" s="1"/>
      <c r="C144" s="1"/>
      <c r="D144" s="1"/>
      <c r="E144" s="1" t="s">
        <v>116</v>
      </c>
      <c r="F144" s="1"/>
      <c r="G144" s="1"/>
      <c r="H144" s="62">
        <f>ROUND(SUM(H136:H143),5)</f>
        <v>842609.06464</v>
      </c>
      <c r="I144" s="58"/>
      <c r="J144" s="62">
        <f>ROUND(SUM(J136:J143),5)</f>
        <v>619590.05000000005</v>
      </c>
      <c r="K144" s="58"/>
      <c r="L144" s="62">
        <f>ROUND(SUM(L136:L143),5)</f>
        <v>892862</v>
      </c>
      <c r="M144" s="58"/>
      <c r="N144" s="61">
        <f t="shared" si="2"/>
        <v>-50252.935360000003</v>
      </c>
    </row>
    <row r="145" spans="1:14" ht="15.75" thickBot="1">
      <c r="A145" s="1"/>
      <c r="B145" s="1"/>
      <c r="C145" s="1"/>
      <c r="D145" s="1" t="s">
        <v>117</v>
      </c>
      <c r="E145" s="1"/>
      <c r="F145" s="1"/>
      <c r="G145" s="1"/>
      <c r="H145" s="61">
        <f>ROUND(H71+H135+H144,5)</f>
        <v>1106367.06464</v>
      </c>
      <c r="I145" s="58"/>
      <c r="J145" s="61">
        <f>ROUND(J71+J135+J144,5)</f>
        <v>786781.96</v>
      </c>
      <c r="K145" s="58"/>
      <c r="L145" s="61">
        <f>ROUND(L71+L135+L144,5)</f>
        <v>1153532</v>
      </c>
      <c r="M145" s="58"/>
      <c r="N145" s="61">
        <f t="shared" si="2"/>
        <v>-47164.935360000003</v>
      </c>
    </row>
    <row r="146" spans="1:14">
      <c r="A146" s="1"/>
      <c r="B146" s="1" t="s">
        <v>118</v>
      </c>
      <c r="C146" s="1"/>
      <c r="D146" s="1"/>
      <c r="E146" s="1"/>
      <c r="F146" s="1"/>
      <c r="G146" s="1"/>
      <c r="H146" s="58"/>
      <c r="I146" s="58"/>
      <c r="J146" s="58"/>
      <c r="K146" s="58"/>
      <c r="L146" s="58"/>
      <c r="M146" s="58"/>
      <c r="N146" s="58"/>
    </row>
    <row r="147" spans="1:14">
      <c r="A147" s="1"/>
      <c r="B147" s="1"/>
      <c r="C147" s="1" t="s">
        <v>119</v>
      </c>
      <c r="D147" s="1"/>
      <c r="E147" s="1"/>
      <c r="F147" s="1"/>
      <c r="G147" s="1"/>
      <c r="H147" s="58"/>
      <c r="I147" s="58"/>
      <c r="J147" s="58"/>
      <c r="K147" s="58"/>
      <c r="L147" s="58"/>
      <c r="M147" s="58"/>
      <c r="N147" s="58"/>
    </row>
    <row r="148" spans="1:14">
      <c r="A148" s="1"/>
      <c r="B148" s="1"/>
      <c r="C148" s="1"/>
      <c r="D148" s="1" t="s">
        <v>120</v>
      </c>
      <c r="E148" s="1"/>
      <c r="F148" s="1"/>
      <c r="G148" s="1"/>
      <c r="H148" s="58">
        <v>7500</v>
      </c>
      <c r="I148" s="58"/>
      <c r="J148" s="58">
        <v>5992.34</v>
      </c>
      <c r="K148" s="58"/>
      <c r="L148" s="58">
        <v>5000</v>
      </c>
      <c r="M148" s="58"/>
      <c r="N148" s="58">
        <f t="shared" ref="N148:N157" si="3">H148-L148</f>
        <v>2500</v>
      </c>
    </row>
    <row r="149" spans="1:14">
      <c r="A149" s="1"/>
      <c r="B149" s="1"/>
      <c r="C149" s="1"/>
      <c r="D149" s="1" t="s">
        <v>121</v>
      </c>
      <c r="E149" s="1"/>
      <c r="F149" s="1"/>
      <c r="G149" s="1"/>
      <c r="H149" s="58">
        <v>10000</v>
      </c>
      <c r="I149" s="58"/>
      <c r="J149" s="58">
        <v>20858.93</v>
      </c>
      <c r="K149" s="58"/>
      <c r="L149" s="58">
        <v>10000</v>
      </c>
      <c r="M149" s="58"/>
      <c r="N149" s="58">
        <f t="shared" si="3"/>
        <v>0</v>
      </c>
    </row>
    <row r="150" spans="1:14">
      <c r="A150" s="1"/>
      <c r="B150" s="1"/>
      <c r="C150" s="1"/>
      <c r="D150" s="1" t="s">
        <v>122</v>
      </c>
      <c r="E150" s="1"/>
      <c r="F150" s="1"/>
      <c r="G150" s="1"/>
      <c r="H150" s="58">
        <v>9000</v>
      </c>
      <c r="I150" s="58"/>
      <c r="J150" s="58">
        <v>7149.42</v>
      </c>
      <c r="K150" s="58"/>
      <c r="L150" s="58">
        <v>9000</v>
      </c>
      <c r="M150" s="58"/>
      <c r="N150" s="58">
        <f t="shared" si="3"/>
        <v>0</v>
      </c>
    </row>
    <row r="151" spans="1:14" ht="15.75" thickBot="1">
      <c r="A151" s="1"/>
      <c r="B151" s="1"/>
      <c r="C151" s="1"/>
      <c r="D151" s="1" t="s">
        <v>123</v>
      </c>
      <c r="E151" s="1"/>
      <c r="F151" s="1"/>
      <c r="G151" s="1"/>
      <c r="H151" s="59">
        <v>1000</v>
      </c>
      <c r="I151" s="58"/>
      <c r="J151" s="59">
        <v>656.29</v>
      </c>
      <c r="K151" s="58"/>
      <c r="L151" s="59">
        <v>0</v>
      </c>
      <c r="M151" s="58"/>
      <c r="N151" s="59">
        <f t="shared" si="3"/>
        <v>1000</v>
      </c>
    </row>
    <row r="152" spans="1:14">
      <c r="A152" s="1"/>
      <c r="B152" s="1"/>
      <c r="C152" s="1" t="s">
        <v>124</v>
      </c>
      <c r="D152" s="1"/>
      <c r="E152" s="1"/>
      <c r="F152" s="1"/>
      <c r="G152" s="1"/>
      <c r="H152" s="58">
        <f>ROUND(SUM(H147:H151),5)</f>
        <v>27500</v>
      </c>
      <c r="I152" s="58"/>
      <c r="J152" s="58">
        <f>ROUND(SUM(J147:J151),5)</f>
        <v>34656.980000000003</v>
      </c>
      <c r="K152" s="58"/>
      <c r="L152" s="58">
        <f>ROUND(SUM(L147:L151),5)</f>
        <v>24000</v>
      </c>
      <c r="M152" s="58"/>
      <c r="N152" s="58">
        <f t="shared" si="3"/>
        <v>3500</v>
      </c>
    </row>
    <row r="153" spans="1:14">
      <c r="A153" s="1"/>
      <c r="B153" s="1"/>
      <c r="C153" s="1" t="s">
        <v>125</v>
      </c>
      <c r="D153" s="1"/>
      <c r="E153" s="1"/>
      <c r="F153" s="1"/>
      <c r="G153" s="1"/>
      <c r="H153" s="58"/>
      <c r="I153" s="58"/>
      <c r="J153" s="58"/>
      <c r="K153" s="58"/>
      <c r="L153" s="58"/>
      <c r="M153" s="58"/>
      <c r="N153" s="58">
        <f t="shared" si="3"/>
        <v>0</v>
      </c>
    </row>
    <row r="154" spans="1:14">
      <c r="A154" s="1"/>
      <c r="B154" s="1"/>
      <c r="C154" s="1"/>
      <c r="D154" s="1" t="s">
        <v>126</v>
      </c>
      <c r="E154" s="1"/>
      <c r="F154" s="1"/>
      <c r="G154" s="1"/>
      <c r="H154" s="58">
        <v>4000</v>
      </c>
      <c r="I154" s="58"/>
      <c r="J154" s="58">
        <v>6426.66</v>
      </c>
      <c r="K154" s="58"/>
      <c r="L154" s="58">
        <v>0</v>
      </c>
      <c r="M154" s="58"/>
      <c r="N154" s="58">
        <f t="shared" si="3"/>
        <v>4000</v>
      </c>
    </row>
    <row r="155" spans="1:14" ht="15.75" thickBot="1">
      <c r="A155" s="1"/>
      <c r="B155" s="1"/>
      <c r="C155" s="1"/>
      <c r="D155" s="1" t="s">
        <v>127</v>
      </c>
      <c r="E155" s="1"/>
      <c r="F155" s="1"/>
      <c r="G155" s="1"/>
      <c r="H155" s="60">
        <v>6000</v>
      </c>
      <c r="I155" s="58"/>
      <c r="J155" s="60">
        <v>4409</v>
      </c>
      <c r="K155" s="58"/>
      <c r="L155" s="60">
        <v>6000</v>
      </c>
      <c r="M155" s="58"/>
      <c r="N155" s="59">
        <f t="shared" si="3"/>
        <v>0</v>
      </c>
    </row>
    <row r="156" spans="1:14" ht="15.75" thickBot="1">
      <c r="A156" s="1"/>
      <c r="B156" s="1"/>
      <c r="C156" s="1" t="s">
        <v>128</v>
      </c>
      <c r="D156" s="1"/>
      <c r="E156" s="1"/>
      <c r="F156" s="1"/>
      <c r="G156" s="1"/>
      <c r="H156" s="62">
        <f>ROUND(SUM(H153:H155),5)</f>
        <v>10000</v>
      </c>
      <c r="I156" s="58"/>
      <c r="J156" s="62">
        <f>ROUND(SUM(J153:J155),5)</f>
        <v>10835.66</v>
      </c>
      <c r="K156" s="58"/>
      <c r="L156" s="62">
        <f>ROUND(SUM(L153:L155),5)</f>
        <v>6000</v>
      </c>
      <c r="M156" s="58"/>
      <c r="N156" s="61">
        <f t="shared" si="3"/>
        <v>4000</v>
      </c>
    </row>
    <row r="157" spans="1:14" ht="15.75" thickBot="1">
      <c r="A157" s="1"/>
      <c r="B157" s="1" t="s">
        <v>129</v>
      </c>
      <c r="C157" s="1"/>
      <c r="D157" s="1"/>
      <c r="E157" s="1"/>
      <c r="F157" s="1"/>
      <c r="G157" s="1"/>
      <c r="H157" s="62">
        <f>ROUND(H146+H152-H156,5)</f>
        <v>17500</v>
      </c>
      <c r="I157" s="58"/>
      <c r="J157" s="62">
        <f>ROUND(J146+J152-J156,5)</f>
        <v>23821.32</v>
      </c>
      <c r="K157" s="58"/>
      <c r="L157" s="62">
        <f>ROUND(L146+L152-L156,5)</f>
        <v>18000</v>
      </c>
      <c r="M157" s="58"/>
      <c r="N157" s="61">
        <f t="shared" si="3"/>
        <v>-500</v>
      </c>
    </row>
    <row r="158" spans="1:14" s="6" customFormat="1" ht="16.5" customHeight="1" thickBot="1">
      <c r="A158" s="1" t="s">
        <v>130</v>
      </c>
      <c r="B158" s="1"/>
      <c r="C158" s="1"/>
      <c r="D158" s="1"/>
      <c r="E158" s="1"/>
      <c r="F158" s="1"/>
      <c r="G158" s="1"/>
      <c r="H158" s="79">
        <f>H69-H145+H157</f>
        <v>9999.9353600000031</v>
      </c>
      <c r="I158" s="58"/>
      <c r="J158" s="63">
        <f>J69-J145+J157</f>
        <v>-239137.42999999993</v>
      </c>
      <c r="K158" s="58"/>
      <c r="L158" s="63">
        <f>L69-L145+L157</f>
        <v>-15000</v>
      </c>
      <c r="M158" s="58"/>
      <c r="N158" s="63">
        <f>N69-N145+N157</f>
        <v>24999.935360000003</v>
      </c>
    </row>
    <row r="159" spans="1:14" ht="15.75" thickTop="1">
      <c r="I159" s="58"/>
      <c r="K159" s="58"/>
      <c r="M159" s="58"/>
    </row>
    <row r="160" spans="1:14">
      <c r="H160" s="65"/>
      <c r="I160" s="58"/>
      <c r="K160" s="58"/>
      <c r="M160" s="58"/>
    </row>
    <row r="161" spans="8:8">
      <c r="H161" s="65"/>
    </row>
  </sheetData>
  <sortState ref="F31:O51">
    <sortCondition ref="F31:F51"/>
  </sortState>
  <pageMargins left="0.7" right="0.7" top="0.75" bottom="0.75" header="0.1" footer="0.3"/>
  <pageSetup orientation="portrait" r:id="rId1"/>
  <headerFooter>
    <oddHeader>&amp;L&amp;"Arial,Bold"&amp;8 12:07 PM
 09/01/16
 Accrual Basis&amp;C&amp;"Arial,Bold"&amp;12 The Children's Law Center
&amp;14 Profit &amp;&amp; Loss FY17 Draft Budget</oddHeader>
    <oddFooter>&amp;R&amp;"Arial,Bold"&amp;8 Page &amp;P of &amp;N</oddFooter>
  </headerFooter>
  <ignoredErrors>
    <ignoredError sqref="L108 J108 J101 H101 L101" formulaRange="1"/>
  </ignoredErrors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5"/>
  <sheetViews>
    <sheetView topLeftCell="B1" workbookViewId="0">
      <selection activeCell="F19" sqref="F19"/>
    </sheetView>
  </sheetViews>
  <sheetFormatPr defaultRowHeight="15"/>
  <cols>
    <col min="4" max="4" width="27.5703125" bestFit="1" customWidth="1"/>
    <col min="5" max="5" width="11.140625" customWidth="1"/>
    <col min="6" max="6" width="10.7109375" customWidth="1"/>
    <col min="7" max="7" width="47.7109375" bestFit="1" customWidth="1"/>
    <col min="8" max="8" width="5" bestFit="1" customWidth="1"/>
    <col min="9" max="9" width="27.7109375" bestFit="1" customWidth="1"/>
    <col min="13" max="13" width="10.140625" bestFit="1" customWidth="1"/>
  </cols>
  <sheetData>
    <row r="1" spans="1:13" ht="30">
      <c r="E1" s="74" t="s">
        <v>131</v>
      </c>
      <c r="F1" s="74" t="s">
        <v>178</v>
      </c>
    </row>
    <row r="2" spans="1:13">
      <c r="A2" s="12"/>
      <c r="B2" s="12"/>
      <c r="C2" s="81" t="s">
        <v>133</v>
      </c>
      <c r="D2" s="83"/>
      <c r="E2" s="13"/>
      <c r="F2" s="67"/>
      <c r="G2" s="57" t="s">
        <v>134</v>
      </c>
      <c r="H2" s="14">
        <v>0.02</v>
      </c>
      <c r="I2" s="15" t="s">
        <v>109</v>
      </c>
      <c r="J2" s="50">
        <f>F3+F9+F15</f>
        <v>261466.71840000001</v>
      </c>
    </row>
    <row r="3" spans="1:13">
      <c r="A3" s="16"/>
      <c r="B3" s="12"/>
      <c r="C3" s="12"/>
      <c r="D3" s="17" t="s">
        <v>135</v>
      </c>
      <c r="E3" s="19">
        <v>102515.92</v>
      </c>
      <c r="F3" s="49">
        <f>(E3*H2)+E3</f>
        <v>104566.2384</v>
      </c>
      <c r="G3" s="12"/>
      <c r="H3" s="12"/>
      <c r="I3" s="20" t="s">
        <v>136</v>
      </c>
      <c r="J3" s="51">
        <f>F23+F29+F35+F41+F47+F53+F59</f>
        <v>355364.74</v>
      </c>
      <c r="L3" s="50"/>
    </row>
    <row r="4" spans="1:13">
      <c r="A4" s="16"/>
      <c r="B4" s="12"/>
      <c r="C4" s="12"/>
      <c r="D4" s="17" t="s">
        <v>137</v>
      </c>
      <c r="E4" s="19">
        <v>9226</v>
      </c>
      <c r="F4" s="49">
        <f>F3*0.09</f>
        <v>9410.9614559999991</v>
      </c>
      <c r="G4" s="12"/>
      <c r="H4" s="12"/>
      <c r="I4" s="20" t="s">
        <v>138</v>
      </c>
      <c r="J4" s="51">
        <f>F67+F73+F79</f>
        <v>74779.8</v>
      </c>
      <c r="L4" s="50"/>
      <c r="M4" s="78"/>
    </row>
    <row r="5" spans="1:13">
      <c r="A5" s="16"/>
      <c r="B5" s="12"/>
      <c r="C5" s="12"/>
      <c r="D5" s="17" t="s">
        <v>139</v>
      </c>
      <c r="E5" s="19">
        <v>1025</v>
      </c>
      <c r="F5" s="49">
        <f>F3*0.01</f>
        <v>1045.662384</v>
      </c>
      <c r="G5" s="12"/>
      <c r="H5" s="12"/>
      <c r="I5" s="20" t="s">
        <v>140</v>
      </c>
      <c r="J5" s="50">
        <f>F4+F10+F16+F24+F30+F36+F42+F48+F60+F54+F68+F74+F80</f>
        <v>62289.943255999984</v>
      </c>
    </row>
    <row r="6" spans="1:13">
      <c r="A6" s="16"/>
      <c r="B6" s="12"/>
      <c r="C6" s="12"/>
      <c r="D6" s="17" t="s">
        <v>141</v>
      </c>
      <c r="E6" s="21">
        <v>6409</v>
      </c>
      <c r="F6" s="68">
        <f>(1112.66*12)+61</f>
        <v>13412.920000000002</v>
      </c>
      <c r="G6" s="12" t="s">
        <v>200</v>
      </c>
      <c r="H6" s="12"/>
      <c r="I6" s="20" t="s">
        <v>146</v>
      </c>
      <c r="J6" s="50">
        <f>F5+F11+F17+F25+F31+F37+F43+F49+F61+F55+F69+F75</f>
        <v>4176.3829839999999</v>
      </c>
    </row>
    <row r="7" spans="1:13">
      <c r="A7" s="16"/>
      <c r="B7" s="12"/>
      <c r="C7" s="81" t="s">
        <v>142</v>
      </c>
      <c r="D7" s="83"/>
      <c r="E7" s="23">
        <f>SUM(E3:E6)</f>
        <v>119175.92</v>
      </c>
      <c r="F7" s="69">
        <f>SUM(F3:F6)</f>
        <v>128435.78224</v>
      </c>
      <c r="G7" s="24"/>
      <c r="H7" s="12"/>
      <c r="I7" s="20" t="s">
        <v>143</v>
      </c>
      <c r="J7" s="50">
        <f>F6+F12+F18+F26+F32+F38+F44+F50+F62+F56+F70+F76+7500+5200</f>
        <v>77531.48000000001</v>
      </c>
    </row>
    <row r="8" spans="1:13" ht="15.75" thickBot="1">
      <c r="A8" s="16"/>
      <c r="B8" s="12"/>
      <c r="C8" s="81" t="s">
        <v>144</v>
      </c>
      <c r="D8" s="83"/>
      <c r="E8" s="19"/>
      <c r="F8" s="49"/>
      <c r="G8" s="12"/>
      <c r="H8" s="12"/>
      <c r="I8" s="25" t="s">
        <v>145</v>
      </c>
      <c r="J8" s="52">
        <f>F86</f>
        <v>7000</v>
      </c>
    </row>
    <row r="9" spans="1:13">
      <c r="A9" s="16"/>
      <c r="B9" s="12"/>
      <c r="C9" s="12"/>
      <c r="D9" s="17" t="s">
        <v>135</v>
      </c>
      <c r="E9" s="19">
        <v>78824</v>
      </c>
      <c r="F9" s="49">
        <f>(E9*H2)+E9</f>
        <v>80400.479999999996</v>
      </c>
      <c r="G9" s="12"/>
      <c r="H9" s="12"/>
      <c r="I9" s="26"/>
      <c r="J9" s="50">
        <f>SUM(J2:J8)</f>
        <v>842609.06464</v>
      </c>
    </row>
    <row r="10" spans="1:13">
      <c r="A10" s="16"/>
      <c r="B10" s="12"/>
      <c r="C10" s="12"/>
      <c r="D10" s="17" t="s">
        <v>137</v>
      </c>
      <c r="E10" s="19">
        <v>7094</v>
      </c>
      <c r="F10" s="49">
        <f>F9*0.09</f>
        <v>7236.0431999999992</v>
      </c>
      <c r="G10" s="12"/>
      <c r="H10" s="12"/>
      <c r="I10" s="26"/>
    </row>
    <row r="11" spans="1:13">
      <c r="A11" s="16"/>
      <c r="B11" s="12"/>
      <c r="C11" s="12"/>
      <c r="D11" s="17" t="s">
        <v>146</v>
      </c>
      <c r="E11" s="19">
        <v>788</v>
      </c>
      <c r="F11" s="49">
        <f>F9*0.01</f>
        <v>804.00479999999993</v>
      </c>
      <c r="G11" s="12"/>
      <c r="H11" s="12"/>
      <c r="I11" s="26"/>
    </row>
    <row r="12" spans="1:13">
      <c r="A12" s="16"/>
      <c r="B12" s="12"/>
      <c r="C12" s="12"/>
      <c r="D12" s="17" t="s">
        <v>141</v>
      </c>
      <c r="E12" s="21">
        <v>4107</v>
      </c>
      <c r="F12" s="68">
        <f>4141+61</f>
        <v>4202</v>
      </c>
      <c r="G12" s="12"/>
      <c r="H12" s="12"/>
      <c r="I12" s="26"/>
    </row>
    <row r="13" spans="1:13">
      <c r="A13" s="16"/>
      <c r="B13" s="12"/>
      <c r="C13" s="17" t="s">
        <v>147</v>
      </c>
      <c r="D13" s="17"/>
      <c r="E13" s="23">
        <f>SUM(E9:E12)</f>
        <v>90813</v>
      </c>
      <c r="F13" s="69">
        <f>SUM(F9:F12)</f>
        <v>92642.527999999991</v>
      </c>
      <c r="G13" s="12"/>
      <c r="H13" s="12"/>
      <c r="I13" s="26"/>
    </row>
    <row r="14" spans="1:13">
      <c r="A14" s="16"/>
      <c r="B14" s="12"/>
      <c r="C14" s="81" t="s">
        <v>148</v>
      </c>
      <c r="D14" s="83"/>
      <c r="E14" s="19"/>
      <c r="F14" s="49"/>
      <c r="G14" s="53"/>
      <c r="H14" s="12"/>
      <c r="I14" s="26"/>
    </row>
    <row r="15" spans="1:13">
      <c r="A15" s="16"/>
      <c r="B15" s="12"/>
      <c r="C15" s="12"/>
      <c r="D15" s="17" t="s">
        <v>135</v>
      </c>
      <c r="E15" s="19">
        <v>75000</v>
      </c>
      <c r="F15" s="49">
        <f>(E15*H2)+E15</f>
        <v>76500</v>
      </c>
      <c r="G15" s="27"/>
      <c r="H15" s="12"/>
      <c r="I15" s="26"/>
    </row>
    <row r="16" spans="1:13">
      <c r="A16" s="16"/>
      <c r="B16" s="12"/>
      <c r="C16" s="12"/>
      <c r="D16" s="17" t="s">
        <v>137</v>
      </c>
      <c r="E16" s="19">
        <v>6750</v>
      </c>
      <c r="F16" s="49">
        <f>F15*0.09</f>
        <v>6885</v>
      </c>
      <c r="G16" s="53"/>
      <c r="H16" s="12"/>
      <c r="I16" s="26"/>
    </row>
    <row r="17" spans="1:9">
      <c r="A17" s="16"/>
      <c r="B17" s="12"/>
      <c r="C17" s="12"/>
      <c r="D17" s="17" t="s">
        <v>146</v>
      </c>
      <c r="E17" s="19"/>
      <c r="F17" s="49"/>
      <c r="G17" s="12"/>
      <c r="H17" s="12"/>
      <c r="I17" s="12"/>
    </row>
    <row r="18" spans="1:9">
      <c r="A18" s="16"/>
      <c r="B18" s="12"/>
      <c r="C18" s="12"/>
      <c r="D18" s="17" t="s">
        <v>141</v>
      </c>
      <c r="E18" s="21">
        <v>6480</v>
      </c>
      <c r="F18" s="68">
        <f>(273.8*12)+61+1500</f>
        <v>4846.6000000000004</v>
      </c>
      <c r="G18" s="12"/>
      <c r="H18" s="12"/>
      <c r="I18" s="12"/>
    </row>
    <row r="19" spans="1:9">
      <c r="A19" s="16"/>
      <c r="B19" s="12"/>
      <c r="C19" s="81" t="s">
        <v>149</v>
      </c>
      <c r="D19" s="83"/>
      <c r="E19" s="23">
        <f>SUM(E15:E18)</f>
        <v>88230</v>
      </c>
      <c r="F19" s="69">
        <f>SUM(F15:F18)</f>
        <v>88231.6</v>
      </c>
      <c r="G19" s="12"/>
      <c r="H19" s="12"/>
      <c r="I19" s="53"/>
    </row>
    <row r="20" spans="1:9">
      <c r="A20" s="16"/>
      <c r="B20" s="81" t="s">
        <v>150</v>
      </c>
      <c r="C20" s="82"/>
      <c r="D20" s="83"/>
      <c r="E20" s="18">
        <f>(E7+E13)+E19</f>
        <v>298218.92</v>
      </c>
      <c r="F20" s="70">
        <f>F7+F13+F19</f>
        <v>309309.91024</v>
      </c>
      <c r="G20" s="53"/>
      <c r="H20" s="12"/>
      <c r="I20" s="12"/>
    </row>
    <row r="21" spans="1:9">
      <c r="A21" s="16"/>
      <c r="B21" s="81" t="s">
        <v>110</v>
      </c>
      <c r="C21" s="82"/>
      <c r="D21" s="83"/>
      <c r="E21" s="19"/>
      <c r="F21" s="49"/>
      <c r="G21" s="12"/>
      <c r="H21" s="12"/>
      <c r="I21" s="12"/>
    </row>
    <row r="22" spans="1:9">
      <c r="A22" s="16"/>
      <c r="B22" s="17" t="s">
        <v>151</v>
      </c>
      <c r="C22" s="81" t="s">
        <v>152</v>
      </c>
      <c r="D22" s="83"/>
      <c r="E22" s="19"/>
      <c r="F22" s="49"/>
      <c r="G22" s="12"/>
      <c r="H22" s="12"/>
      <c r="I22" s="12"/>
    </row>
    <row r="23" spans="1:9">
      <c r="A23" s="16"/>
      <c r="B23" s="54"/>
      <c r="C23" s="17"/>
      <c r="D23" s="17" t="s">
        <v>135</v>
      </c>
      <c r="E23" s="19">
        <v>62029</v>
      </c>
      <c r="F23" s="49">
        <f>(E23*H2)+E23</f>
        <v>63269.58</v>
      </c>
      <c r="G23" s="12"/>
      <c r="H23" s="28"/>
      <c r="I23" s="28"/>
    </row>
    <row r="24" spans="1:9">
      <c r="A24" s="16"/>
      <c r="B24" s="54"/>
      <c r="C24" s="12"/>
      <c r="D24" s="17" t="s">
        <v>137</v>
      </c>
      <c r="E24" s="29">
        <f>E23*0.09</f>
        <v>5582.61</v>
      </c>
      <c r="F24" s="71">
        <f>F23*0.09</f>
        <v>5694.2622000000001</v>
      </c>
      <c r="G24" s="12"/>
      <c r="H24" s="12"/>
      <c r="I24" s="12"/>
    </row>
    <row r="25" spans="1:9">
      <c r="A25" s="16"/>
      <c r="B25" s="54"/>
      <c r="C25" s="12"/>
      <c r="D25" s="17" t="s">
        <v>139</v>
      </c>
      <c r="E25" s="19">
        <v>620</v>
      </c>
      <c r="F25" s="49">
        <f>F23*0.01</f>
        <v>632.69580000000008</v>
      </c>
      <c r="G25" s="12"/>
      <c r="H25" s="12"/>
      <c r="I25" s="12"/>
    </row>
    <row r="26" spans="1:9">
      <c r="A26" s="16"/>
      <c r="B26" s="54"/>
      <c r="C26" s="12"/>
      <c r="D26" s="17" t="s">
        <v>141</v>
      </c>
      <c r="E26" s="21">
        <v>6015</v>
      </c>
      <c r="F26" s="68">
        <f>(753.42*12)+61</f>
        <v>9102.0399999999991</v>
      </c>
      <c r="G26" s="12"/>
      <c r="H26" s="12"/>
      <c r="I26" s="12"/>
    </row>
    <row r="27" spans="1:9">
      <c r="A27" s="16"/>
      <c r="B27" s="54"/>
      <c r="C27" s="81" t="s">
        <v>153</v>
      </c>
      <c r="D27" s="83"/>
      <c r="E27" s="23">
        <f>SUM(E23:E26)</f>
        <v>74246.61</v>
      </c>
      <c r="F27" s="69">
        <f>SUM(F23:F26)</f>
        <v>78698.577999999994</v>
      </c>
      <c r="G27" s="12"/>
      <c r="H27" s="12"/>
      <c r="I27" s="12"/>
    </row>
    <row r="28" spans="1:9">
      <c r="A28" s="16"/>
      <c r="B28" s="54"/>
      <c r="C28" s="81" t="s">
        <v>154</v>
      </c>
      <c r="D28" s="83"/>
      <c r="E28" s="19"/>
      <c r="F28" s="49"/>
      <c r="G28" s="12"/>
      <c r="H28" s="12"/>
      <c r="I28" s="12"/>
    </row>
    <row r="29" spans="1:9">
      <c r="A29" s="16"/>
      <c r="B29" s="54"/>
      <c r="C29" s="12"/>
      <c r="D29" s="17" t="s">
        <v>135</v>
      </c>
      <c r="E29" s="49">
        <v>54000</v>
      </c>
      <c r="F29" s="49">
        <f>(E29*H2)+E29</f>
        <v>55080</v>
      </c>
      <c r="G29" s="30"/>
      <c r="H29" s="12"/>
      <c r="I29" s="12"/>
    </row>
    <row r="30" spans="1:9">
      <c r="A30" s="16"/>
      <c r="B30" s="54"/>
      <c r="C30" s="12"/>
      <c r="D30" s="17" t="s">
        <v>137</v>
      </c>
      <c r="E30" s="19">
        <v>4860</v>
      </c>
      <c r="F30" s="49">
        <f>F29*0.09</f>
        <v>4957.2</v>
      </c>
      <c r="G30" s="12"/>
      <c r="H30" s="12"/>
      <c r="I30" s="12"/>
    </row>
    <row r="31" spans="1:9">
      <c r="A31" s="16"/>
      <c r="B31" s="54"/>
      <c r="C31" s="12"/>
      <c r="D31" s="17" t="s">
        <v>146</v>
      </c>
      <c r="E31" s="31">
        <f>E29*0.01</f>
        <v>540</v>
      </c>
      <c r="F31" s="49">
        <f>F29*0.01</f>
        <v>550.80000000000007</v>
      </c>
      <c r="G31" s="12"/>
      <c r="H31" s="12"/>
      <c r="I31" s="12"/>
    </row>
    <row r="32" spans="1:9">
      <c r="A32" s="16"/>
      <c r="B32" s="54"/>
      <c r="C32" s="12"/>
      <c r="D32" s="17" t="s">
        <v>141</v>
      </c>
      <c r="E32" s="21">
        <v>61</v>
      </c>
      <c r="F32" s="68">
        <f>(591.71*12)+61</f>
        <v>7161.52</v>
      </c>
      <c r="G32" s="27" t="s">
        <v>201</v>
      </c>
      <c r="H32" s="12"/>
      <c r="I32" s="12"/>
    </row>
    <row r="33" spans="1:9">
      <c r="A33" s="16"/>
      <c r="B33" s="54"/>
      <c r="C33" s="81" t="s">
        <v>155</v>
      </c>
      <c r="D33" s="83"/>
      <c r="E33" s="22">
        <f>SUM(E29:E32)</f>
        <v>59461</v>
      </c>
      <c r="F33" s="72">
        <f>SUM(F29:F32)</f>
        <v>67749.52</v>
      </c>
      <c r="G33" s="12"/>
      <c r="H33" s="12"/>
      <c r="I33" s="12"/>
    </row>
    <row r="34" spans="1:9">
      <c r="A34" s="16"/>
      <c r="B34" s="54" t="s">
        <v>156</v>
      </c>
      <c r="C34" s="81" t="s">
        <v>157</v>
      </c>
      <c r="D34" s="83"/>
      <c r="E34" s="19"/>
      <c r="F34" s="49"/>
      <c r="G34" s="12"/>
      <c r="H34" s="12"/>
      <c r="I34" s="12"/>
    </row>
    <row r="35" spans="1:9">
      <c r="A35" s="16"/>
      <c r="B35" s="54"/>
      <c r="C35" s="12"/>
      <c r="D35" s="17" t="s">
        <v>135</v>
      </c>
      <c r="E35" s="19">
        <v>57988</v>
      </c>
      <c r="F35" s="49">
        <f>(E35*H2)+E35</f>
        <v>59147.76</v>
      </c>
      <c r="G35" s="12"/>
      <c r="H35" s="32"/>
      <c r="I35" s="32"/>
    </row>
    <row r="36" spans="1:9">
      <c r="A36" s="16"/>
      <c r="B36" s="54"/>
      <c r="C36" s="12"/>
      <c r="D36" s="17" t="s">
        <v>137</v>
      </c>
      <c r="E36" s="19">
        <v>5219</v>
      </c>
      <c r="F36" s="49">
        <f>F35*0.09</f>
        <v>5323.2983999999997</v>
      </c>
      <c r="G36" s="12"/>
      <c r="H36" s="12"/>
      <c r="I36" s="12"/>
    </row>
    <row r="37" spans="1:9">
      <c r="A37" s="16"/>
      <c r="B37" s="54"/>
      <c r="C37" s="12"/>
      <c r="D37" s="17" t="s">
        <v>146</v>
      </c>
      <c r="E37" s="19">
        <v>0</v>
      </c>
      <c r="F37" s="49">
        <v>0</v>
      </c>
      <c r="G37" s="12"/>
      <c r="H37" s="12"/>
      <c r="I37" s="12"/>
    </row>
    <row r="38" spans="1:9">
      <c r="A38" s="12"/>
      <c r="B38" s="54"/>
      <c r="C38" s="12"/>
      <c r="D38" s="17" t="s">
        <v>141</v>
      </c>
      <c r="E38" s="21">
        <v>61</v>
      </c>
      <c r="F38" s="68">
        <f>(734.36*12)+61</f>
        <v>8873.32</v>
      </c>
      <c r="G38" s="12" t="s">
        <v>201</v>
      </c>
      <c r="H38" s="12"/>
      <c r="I38" s="12"/>
    </row>
    <row r="39" spans="1:9">
      <c r="A39" s="12"/>
      <c r="B39" s="54"/>
      <c r="C39" s="81" t="s">
        <v>158</v>
      </c>
      <c r="D39" s="83"/>
      <c r="E39" s="22">
        <f>SUM(E35:E38)</f>
        <v>63268</v>
      </c>
      <c r="F39" s="72">
        <f>SUM(F35:F38)</f>
        <v>73344.378400000001</v>
      </c>
      <c r="G39" s="12"/>
      <c r="H39" s="12"/>
      <c r="I39" s="12"/>
    </row>
    <row r="40" spans="1:9">
      <c r="A40" s="12"/>
      <c r="B40" s="54" t="s">
        <v>159</v>
      </c>
      <c r="C40" s="81" t="s">
        <v>160</v>
      </c>
      <c r="D40" s="83"/>
      <c r="E40" s="19"/>
      <c r="F40" s="49"/>
      <c r="G40" s="53"/>
      <c r="H40" s="12"/>
      <c r="I40" s="12"/>
    </row>
    <row r="41" spans="1:9">
      <c r="A41" s="16"/>
      <c r="B41" s="54"/>
      <c r="C41" s="12"/>
      <c r="D41" s="17" t="s">
        <v>135</v>
      </c>
      <c r="E41" s="19">
        <v>55080</v>
      </c>
      <c r="F41" s="49">
        <v>56182</v>
      </c>
      <c r="G41" s="12"/>
      <c r="H41" s="12"/>
      <c r="I41" s="12"/>
    </row>
    <row r="42" spans="1:9">
      <c r="A42" s="12"/>
      <c r="B42" s="54"/>
      <c r="C42" s="12"/>
      <c r="D42" s="17" t="s">
        <v>137</v>
      </c>
      <c r="E42" s="19">
        <v>4957</v>
      </c>
      <c r="F42" s="49">
        <f>F41*0.09</f>
        <v>5056.38</v>
      </c>
      <c r="G42" s="12"/>
      <c r="H42" s="12"/>
      <c r="I42" s="12"/>
    </row>
    <row r="43" spans="1:9">
      <c r="A43" s="12"/>
      <c r="B43" s="54"/>
      <c r="C43" s="12"/>
      <c r="D43" s="17" t="s">
        <v>146</v>
      </c>
      <c r="E43" s="19">
        <v>551</v>
      </c>
      <c r="F43" s="49">
        <f>F41*0.01</f>
        <v>561.82000000000005</v>
      </c>
      <c r="G43" s="12"/>
      <c r="H43" s="12"/>
      <c r="I43" s="12"/>
    </row>
    <row r="44" spans="1:9">
      <c r="A44" s="12"/>
      <c r="B44" s="54"/>
      <c r="C44" s="12"/>
      <c r="D44" s="17" t="s">
        <v>141</v>
      </c>
      <c r="E44" s="21">
        <v>3368</v>
      </c>
      <c r="F44" s="68">
        <f>(319.28*12)+61</f>
        <v>3892.3599999999997</v>
      </c>
      <c r="G44" s="27"/>
      <c r="H44" s="12"/>
      <c r="I44" s="12"/>
    </row>
    <row r="45" spans="1:9">
      <c r="A45" s="12"/>
      <c r="B45" s="54"/>
      <c r="C45" s="81" t="s">
        <v>161</v>
      </c>
      <c r="D45" s="83"/>
      <c r="E45" s="22">
        <f>SUM(E41:E44)</f>
        <v>63956</v>
      </c>
      <c r="F45" s="72">
        <f>SUM(F41:F44)</f>
        <v>65692.56</v>
      </c>
      <c r="G45" s="12"/>
      <c r="H45" s="12"/>
      <c r="I45" s="12"/>
    </row>
    <row r="46" spans="1:9">
      <c r="A46" s="12"/>
      <c r="B46" s="54"/>
      <c r="C46" s="81" t="s">
        <v>162</v>
      </c>
      <c r="D46" s="83"/>
      <c r="E46" s="19"/>
      <c r="F46" s="49"/>
      <c r="G46" s="84"/>
      <c r="H46" s="83"/>
      <c r="I46" s="33"/>
    </row>
    <row r="47" spans="1:9">
      <c r="A47" s="12"/>
      <c r="B47" s="54"/>
      <c r="C47" s="12"/>
      <c r="D47" s="17" t="s">
        <v>135</v>
      </c>
      <c r="E47" s="49">
        <f>2651.4*2</f>
        <v>5302.8</v>
      </c>
      <c r="F47" s="49">
        <f>28.44*5*52</f>
        <v>7394.4000000000005</v>
      </c>
      <c r="G47" s="27" t="s">
        <v>179</v>
      </c>
      <c r="H47" s="12"/>
      <c r="I47" s="12"/>
    </row>
    <row r="48" spans="1:9">
      <c r="A48" s="12"/>
      <c r="B48" s="54"/>
      <c r="C48" s="12"/>
      <c r="D48" s="17" t="s">
        <v>137</v>
      </c>
      <c r="E48" s="19">
        <f>E47*0.09</f>
        <v>477.25200000000001</v>
      </c>
      <c r="F48" s="49">
        <f>F47*0.09</f>
        <v>665.49599999999998</v>
      </c>
      <c r="G48" s="12"/>
      <c r="H48" s="12"/>
      <c r="I48" s="12"/>
    </row>
    <row r="49" spans="1:9">
      <c r="A49" s="12"/>
      <c r="B49" s="54"/>
      <c r="C49" s="12"/>
      <c r="D49" s="17" t="s">
        <v>146</v>
      </c>
      <c r="E49" s="19">
        <v>0</v>
      </c>
      <c r="F49" s="49">
        <v>0</v>
      </c>
      <c r="G49" s="12"/>
      <c r="H49" s="12"/>
      <c r="I49" s="12"/>
    </row>
    <row r="50" spans="1:9">
      <c r="A50" s="12"/>
      <c r="B50" s="54"/>
      <c r="C50" s="12"/>
      <c r="D50" s="17" t="s">
        <v>141</v>
      </c>
      <c r="E50" s="21">
        <v>61</v>
      </c>
      <c r="F50" s="68">
        <v>61</v>
      </c>
      <c r="G50" s="27"/>
      <c r="H50" s="12"/>
      <c r="I50" s="12"/>
    </row>
    <row r="51" spans="1:9">
      <c r="A51" s="12"/>
      <c r="B51" s="54"/>
      <c r="C51" s="81" t="s">
        <v>163</v>
      </c>
      <c r="D51" s="83"/>
      <c r="E51" s="22">
        <f>SUM(E47:E50)</f>
        <v>5841.0520000000006</v>
      </c>
      <c r="F51" s="72">
        <f>SUM(F47:F50)</f>
        <v>8120.8960000000006</v>
      </c>
      <c r="G51" s="12"/>
      <c r="H51" s="12"/>
      <c r="I51" s="12"/>
    </row>
    <row r="52" spans="1:9">
      <c r="A52" s="12"/>
      <c r="B52" s="55">
        <v>42107</v>
      </c>
      <c r="C52" s="81" t="s">
        <v>181</v>
      </c>
      <c r="D52" s="83"/>
      <c r="E52" s="19"/>
      <c r="F52" s="49"/>
      <c r="G52" s="84"/>
      <c r="H52" s="83"/>
      <c r="I52" s="12"/>
    </row>
    <row r="53" spans="1:9">
      <c r="A53" s="12"/>
      <c r="B53" s="17"/>
      <c r="C53" s="12"/>
      <c r="D53" s="17" t="s">
        <v>135</v>
      </c>
      <c r="E53" s="19">
        <v>55050</v>
      </c>
      <c r="F53" s="49">
        <f>(E53*H2)+E53</f>
        <v>56151</v>
      </c>
      <c r="G53" s="12"/>
      <c r="H53" s="12"/>
      <c r="I53" s="12"/>
    </row>
    <row r="54" spans="1:9">
      <c r="A54" s="12"/>
      <c r="B54" s="17"/>
      <c r="C54" s="12"/>
      <c r="D54" s="17" t="s">
        <v>137</v>
      </c>
      <c r="E54" s="19">
        <f>E53*0.09</f>
        <v>4954.5</v>
      </c>
      <c r="F54" s="49">
        <f>F53*0.09</f>
        <v>5053.59</v>
      </c>
      <c r="G54" s="12"/>
      <c r="H54" s="12"/>
      <c r="I54" s="12"/>
    </row>
    <row r="55" spans="1:9">
      <c r="A55" s="12"/>
      <c r="B55" s="17"/>
      <c r="C55" s="12"/>
      <c r="D55" s="17" t="s">
        <v>146</v>
      </c>
      <c r="E55" s="19">
        <v>0</v>
      </c>
      <c r="F55" s="49">
        <v>0</v>
      </c>
      <c r="G55" s="12"/>
      <c r="H55" s="12"/>
      <c r="I55" s="12"/>
    </row>
    <row r="56" spans="1:9">
      <c r="A56" s="12"/>
      <c r="B56" s="17"/>
      <c r="C56" s="12"/>
      <c r="D56" s="17" t="s">
        <v>141</v>
      </c>
      <c r="E56" s="21">
        <v>5169</v>
      </c>
      <c r="F56" s="68">
        <f>(299.45*12)+61</f>
        <v>3654.3999999999996</v>
      </c>
      <c r="G56" s="12"/>
      <c r="H56" s="12"/>
      <c r="I56" s="12"/>
    </row>
    <row r="57" spans="1:9">
      <c r="A57" s="12"/>
      <c r="B57" s="17"/>
      <c r="C57" s="87" t="s">
        <v>167</v>
      </c>
      <c r="D57" s="83"/>
      <c r="E57" s="23">
        <f>SUM(E53:E56)</f>
        <v>65173.5</v>
      </c>
      <c r="F57" s="69">
        <f>SUM(F53:F56)</f>
        <v>64858.99</v>
      </c>
      <c r="G57" s="12"/>
      <c r="H57" s="12"/>
      <c r="I57" s="12"/>
    </row>
    <row r="58" spans="1:9">
      <c r="A58" s="12"/>
      <c r="B58" s="56">
        <v>2011</v>
      </c>
      <c r="C58" s="87" t="s">
        <v>164</v>
      </c>
      <c r="D58" s="83"/>
      <c r="E58" s="19"/>
      <c r="F58" s="49"/>
      <c r="G58" s="84"/>
      <c r="H58" s="83"/>
      <c r="I58" s="33"/>
    </row>
    <row r="59" spans="1:9">
      <c r="A59" s="12"/>
      <c r="B59" s="34"/>
      <c r="C59" s="35"/>
      <c r="D59" s="35" t="s">
        <v>135</v>
      </c>
      <c r="E59" s="19">
        <v>57000</v>
      </c>
      <c r="F59" s="49">
        <f>(E59*H2)+E59</f>
        <v>58140</v>
      </c>
      <c r="G59" s="12"/>
      <c r="H59" s="12"/>
      <c r="I59" s="12"/>
    </row>
    <row r="60" spans="1:9">
      <c r="A60" s="12"/>
      <c r="B60" s="34"/>
      <c r="C60" s="35"/>
      <c r="D60" s="35" t="s">
        <v>165</v>
      </c>
      <c r="E60" s="19">
        <v>5130</v>
      </c>
      <c r="F60" s="49">
        <f>F59*0.09</f>
        <v>5232.5999999999995</v>
      </c>
      <c r="G60" s="12"/>
      <c r="H60" s="12"/>
      <c r="I60" s="12"/>
    </row>
    <row r="61" spans="1:9">
      <c r="A61" s="12"/>
      <c r="B61" s="34"/>
      <c r="C61" s="35"/>
      <c r="D61" s="35" t="s">
        <v>146</v>
      </c>
      <c r="E61" s="31">
        <f>E59*0.01</f>
        <v>570</v>
      </c>
      <c r="F61" s="49">
        <f>F59*0.01</f>
        <v>581.4</v>
      </c>
      <c r="G61" s="12"/>
      <c r="H61" s="12"/>
      <c r="I61" s="12"/>
    </row>
    <row r="62" spans="1:9">
      <c r="A62" s="12"/>
      <c r="B62" s="34"/>
      <c r="C62" s="35"/>
      <c r="D62" s="35" t="s">
        <v>141</v>
      </c>
      <c r="E62" s="21">
        <v>61</v>
      </c>
      <c r="F62" s="68">
        <v>61</v>
      </c>
      <c r="G62" s="77" t="s">
        <v>218</v>
      </c>
      <c r="H62" s="12"/>
      <c r="I62" s="12"/>
    </row>
    <row r="63" spans="1:9">
      <c r="A63" s="12"/>
      <c r="B63" s="34"/>
      <c r="C63" s="87" t="s">
        <v>166</v>
      </c>
      <c r="D63" s="83"/>
      <c r="E63" s="36">
        <f>SUM(E59:E62)</f>
        <v>62761</v>
      </c>
      <c r="F63" s="72">
        <f>SUM(F59:F62)</f>
        <v>64015</v>
      </c>
      <c r="G63" s="12"/>
      <c r="H63" s="12"/>
      <c r="I63" s="12"/>
    </row>
    <row r="64" spans="1:9">
      <c r="A64" s="12"/>
      <c r="B64" s="81" t="s">
        <v>168</v>
      </c>
      <c r="C64" s="82"/>
      <c r="D64" s="83"/>
      <c r="E64" s="18">
        <f>E27+E33+E39+E45+E51+E63+E57</f>
        <v>394707.16200000001</v>
      </c>
      <c r="F64" s="73">
        <f>F27+F33+F39+F45+F51+F63+F57</f>
        <v>422479.92239999998</v>
      </c>
      <c r="G64" s="12"/>
      <c r="H64" s="12"/>
      <c r="I64" s="12"/>
    </row>
    <row r="65" spans="1:9">
      <c r="A65" s="12"/>
      <c r="B65" s="81" t="s">
        <v>169</v>
      </c>
      <c r="C65" s="82"/>
      <c r="D65" s="83"/>
      <c r="E65" s="19"/>
      <c r="F65" s="49"/>
      <c r="G65" s="12"/>
      <c r="H65" s="12"/>
      <c r="I65" s="12"/>
    </row>
    <row r="66" spans="1:9">
      <c r="A66" s="12"/>
      <c r="B66" s="12"/>
      <c r="C66" s="81" t="s">
        <v>170</v>
      </c>
      <c r="D66" s="83"/>
      <c r="E66" s="19"/>
      <c r="F66" s="49"/>
      <c r="G66" s="12"/>
      <c r="H66" s="12"/>
      <c r="I66" s="12"/>
    </row>
    <row r="67" spans="1:9">
      <c r="A67" s="12"/>
      <c r="B67" s="12"/>
      <c r="C67" s="17"/>
      <c r="D67" s="17" t="s">
        <v>135</v>
      </c>
      <c r="E67" s="19">
        <f>17.85*40*52</f>
        <v>37128</v>
      </c>
      <c r="F67" s="49">
        <f>18.21*2080</f>
        <v>37876.800000000003</v>
      </c>
      <c r="G67" s="85" t="s">
        <v>182</v>
      </c>
      <c r="H67" s="86"/>
      <c r="I67" s="33"/>
    </row>
    <row r="68" spans="1:9">
      <c r="A68" s="12"/>
      <c r="B68" s="12"/>
      <c r="C68" s="12"/>
      <c r="D68" s="17" t="s">
        <v>137</v>
      </c>
      <c r="E68" s="19">
        <f>E67*0.09</f>
        <v>3341.52</v>
      </c>
      <c r="F68" s="49">
        <f>F67*0.09</f>
        <v>3408.9120000000003</v>
      </c>
      <c r="G68" s="12"/>
      <c r="H68" s="12"/>
      <c r="I68" s="12"/>
    </row>
    <row r="69" spans="1:9">
      <c r="A69" s="12"/>
      <c r="B69" s="12"/>
      <c r="C69" s="12"/>
      <c r="D69" s="17" t="s">
        <v>146</v>
      </c>
      <c r="E69" s="19">
        <v>0</v>
      </c>
      <c r="F69" s="49">
        <v>0</v>
      </c>
      <c r="G69" s="12"/>
      <c r="H69" s="12"/>
      <c r="I69" s="12"/>
    </row>
    <row r="70" spans="1:9">
      <c r="A70" s="12"/>
      <c r="B70" s="12"/>
      <c r="C70" s="12"/>
      <c r="D70" s="17" t="s">
        <v>141</v>
      </c>
      <c r="E70" s="21">
        <v>4893</v>
      </c>
      <c r="F70" s="68">
        <f>(504.77*12)+61</f>
        <v>6118.24</v>
      </c>
      <c r="G70" s="12"/>
      <c r="H70" s="12"/>
      <c r="I70" s="12"/>
    </row>
    <row r="71" spans="1:9">
      <c r="A71" s="12"/>
      <c r="B71" s="12"/>
      <c r="C71" s="81" t="s">
        <v>171</v>
      </c>
      <c r="D71" s="83"/>
      <c r="E71" s="23">
        <f>SUM(E67:E70)</f>
        <v>45362.52</v>
      </c>
      <c r="F71" s="69">
        <f>SUM(F67:F70)</f>
        <v>47403.951999999997</v>
      </c>
      <c r="G71" s="12"/>
      <c r="H71" s="12"/>
      <c r="I71" s="12"/>
    </row>
    <row r="72" spans="1:9">
      <c r="A72" s="12"/>
      <c r="B72" s="12"/>
      <c r="C72" s="81" t="s">
        <v>172</v>
      </c>
      <c r="D72" s="83"/>
      <c r="E72" s="19"/>
      <c r="F72" s="49"/>
      <c r="G72" s="12"/>
      <c r="H72" s="12"/>
      <c r="I72" s="12"/>
    </row>
    <row r="73" spans="1:9">
      <c r="A73" s="12"/>
      <c r="B73" s="12"/>
      <c r="C73" s="12"/>
      <c r="D73" s="17" t="s">
        <v>135</v>
      </c>
      <c r="E73" s="19">
        <f>15.69*40*52</f>
        <v>32635.200000000001</v>
      </c>
      <c r="F73" s="49">
        <f>16*2080</f>
        <v>33280</v>
      </c>
      <c r="G73" s="85" t="s">
        <v>183</v>
      </c>
      <c r="H73" s="86"/>
      <c r="I73" s="33"/>
    </row>
    <row r="74" spans="1:9">
      <c r="A74" s="12"/>
      <c r="B74" s="12"/>
      <c r="C74" s="12"/>
      <c r="D74" s="17" t="s">
        <v>137</v>
      </c>
      <c r="E74" s="19">
        <f>E73*0.09</f>
        <v>2937.1680000000001</v>
      </c>
      <c r="F74" s="49">
        <f>F73*0.09</f>
        <v>2995.2</v>
      </c>
      <c r="G74" s="12"/>
      <c r="H74" s="12"/>
      <c r="I74" s="12"/>
    </row>
    <row r="75" spans="1:9">
      <c r="A75" s="12"/>
      <c r="B75" s="12"/>
      <c r="C75" s="12"/>
      <c r="D75" s="17" t="s">
        <v>146</v>
      </c>
      <c r="E75" s="19">
        <v>0</v>
      </c>
      <c r="F75" s="49">
        <v>0</v>
      </c>
      <c r="G75" s="12"/>
      <c r="H75" s="12"/>
      <c r="I75" s="12"/>
    </row>
    <row r="76" spans="1:9">
      <c r="A76" s="12"/>
      <c r="B76" s="12"/>
      <c r="C76" s="12"/>
      <c r="D76" s="17" t="s">
        <v>141</v>
      </c>
      <c r="E76" s="21">
        <v>2000</v>
      </c>
      <c r="F76" s="68">
        <f>(282.09*12)+61</f>
        <v>3446.08</v>
      </c>
      <c r="G76" s="27"/>
      <c r="H76" s="12"/>
      <c r="I76" s="12"/>
    </row>
    <row r="77" spans="1:9">
      <c r="A77" s="12"/>
      <c r="B77" s="12"/>
      <c r="C77" s="81" t="s">
        <v>173</v>
      </c>
      <c r="D77" s="83"/>
      <c r="E77" s="23">
        <f>SUM(E73:E76)</f>
        <v>37572.368000000002</v>
      </c>
      <c r="F77" s="69">
        <f>SUM(F73:F76)</f>
        <v>39721.279999999999</v>
      </c>
      <c r="G77" s="12"/>
      <c r="H77" s="12"/>
      <c r="I77" s="12"/>
    </row>
    <row r="78" spans="1:9">
      <c r="A78" s="12"/>
      <c r="B78" s="12"/>
      <c r="C78" s="81" t="s">
        <v>174</v>
      </c>
      <c r="D78" s="83"/>
      <c r="E78" s="19"/>
      <c r="F78" s="49"/>
      <c r="G78" s="12"/>
      <c r="H78" s="12"/>
      <c r="I78" s="12"/>
    </row>
    <row r="79" spans="1:9">
      <c r="A79" s="12"/>
      <c r="B79" s="12"/>
      <c r="C79" s="12"/>
      <c r="D79" s="17" t="s">
        <v>135</v>
      </c>
      <c r="E79" s="19">
        <v>3623</v>
      </c>
      <c r="F79" s="49">
        <v>3623</v>
      </c>
      <c r="G79" s="12"/>
      <c r="H79" s="12"/>
      <c r="I79" s="12"/>
    </row>
    <row r="80" spans="1:9">
      <c r="A80" s="12"/>
      <c r="B80" s="12"/>
      <c r="C80" s="12"/>
      <c r="D80" s="17" t="s">
        <v>165</v>
      </c>
      <c r="E80" s="21">
        <v>371</v>
      </c>
      <c r="F80" s="68">
        <v>371</v>
      </c>
      <c r="G80" s="12"/>
      <c r="H80" s="12"/>
      <c r="I80" s="12"/>
    </row>
    <row r="81" spans="1:9">
      <c r="A81" s="12"/>
      <c r="B81" s="12"/>
      <c r="C81" s="81" t="s">
        <v>175</v>
      </c>
      <c r="D81" s="83"/>
      <c r="E81" s="23">
        <f>SUM(E79:E80)</f>
        <v>3994</v>
      </c>
      <c r="F81" s="23">
        <f>SUM(F79:F80)</f>
        <v>3994</v>
      </c>
      <c r="G81" s="12"/>
      <c r="H81" s="12"/>
      <c r="I81" s="12"/>
    </row>
    <row r="82" spans="1:9">
      <c r="A82" s="12"/>
      <c r="B82" s="81" t="s">
        <v>176</v>
      </c>
      <c r="C82" s="82"/>
      <c r="D82" s="83"/>
      <c r="E82" s="37">
        <f>E71+E77+E81</f>
        <v>86928.888000000006</v>
      </c>
      <c r="F82" s="37">
        <f>F71+F77+F81</f>
        <v>91119.231999999989</v>
      </c>
      <c r="G82" s="12"/>
      <c r="H82" s="12"/>
      <c r="I82" s="12"/>
    </row>
    <row r="83" spans="1:9">
      <c r="A83" s="12"/>
      <c r="B83" s="12"/>
      <c r="C83" s="12"/>
      <c r="D83" s="12"/>
      <c r="E83" s="38"/>
      <c r="F83" s="38"/>
      <c r="G83" s="12"/>
      <c r="H83" s="12"/>
      <c r="I83" s="12"/>
    </row>
    <row r="84" spans="1:9">
      <c r="A84" s="81" t="s">
        <v>177</v>
      </c>
      <c r="B84" s="82"/>
      <c r="C84" s="82"/>
      <c r="D84" s="83"/>
      <c r="E84" s="39">
        <f>(E20+E64)+E82</f>
        <v>779854.97</v>
      </c>
      <c r="F84" s="40">
        <f>(F20+F64)+F82</f>
        <v>822909.06463999988</v>
      </c>
      <c r="G84" s="30" t="s">
        <v>199</v>
      </c>
      <c r="H84" s="12"/>
      <c r="I84" s="12"/>
    </row>
    <row r="85" spans="1:9">
      <c r="A85" s="12"/>
      <c r="B85" s="12"/>
      <c r="C85" s="12"/>
      <c r="D85" s="12"/>
      <c r="E85" s="38"/>
      <c r="F85" s="38"/>
      <c r="G85" s="12"/>
      <c r="H85" s="12"/>
      <c r="I85" s="12"/>
    </row>
    <row r="86" spans="1:9">
      <c r="A86" s="12"/>
      <c r="B86" s="12"/>
      <c r="C86" s="81" t="s">
        <v>115</v>
      </c>
      <c r="D86" s="83"/>
      <c r="E86" s="41">
        <v>7000</v>
      </c>
      <c r="F86" s="42">
        <v>7000</v>
      </c>
      <c r="G86" s="27" t="s">
        <v>180</v>
      </c>
      <c r="H86" s="12"/>
      <c r="I86" s="12"/>
    </row>
    <row r="87" spans="1:9">
      <c r="A87" s="12"/>
      <c r="B87" s="12"/>
      <c r="C87" s="81" t="s">
        <v>116</v>
      </c>
      <c r="D87" s="83"/>
      <c r="E87" s="43">
        <f>E84+E86+7500+5200</f>
        <v>799554.97</v>
      </c>
      <c r="F87" s="44">
        <f>F84+F86+7500+5200</f>
        <v>842609.06463999988</v>
      </c>
      <c r="G87" s="27" t="s">
        <v>217</v>
      </c>
      <c r="H87" s="12"/>
      <c r="I87" s="12"/>
    </row>
    <row r="88" spans="1:9">
      <c r="A88" s="12"/>
      <c r="B88" s="12"/>
      <c r="C88" s="12"/>
      <c r="D88" s="12"/>
      <c r="E88" s="45"/>
      <c r="F88" s="23"/>
      <c r="G88" s="12"/>
      <c r="H88" s="12"/>
      <c r="I88" s="12"/>
    </row>
    <row r="89" spans="1:9">
      <c r="A89" s="12"/>
      <c r="B89" s="12"/>
      <c r="C89" s="84"/>
      <c r="D89" s="82"/>
      <c r="E89" s="46"/>
      <c r="F89" s="46"/>
      <c r="G89" s="12"/>
      <c r="H89" s="12"/>
      <c r="I89" s="12"/>
    </row>
    <row r="90" spans="1:9">
      <c r="A90" s="12"/>
      <c r="B90" s="12"/>
      <c r="C90" s="12"/>
      <c r="D90" s="12"/>
      <c r="E90" s="46"/>
      <c r="F90" s="46"/>
      <c r="G90" s="12"/>
      <c r="H90" s="12"/>
      <c r="I90" s="12"/>
    </row>
    <row r="91" spans="1:9">
      <c r="A91" s="12"/>
      <c r="B91" s="12"/>
      <c r="C91" s="12"/>
      <c r="D91" s="12"/>
      <c r="E91" s="46"/>
      <c r="F91" s="46"/>
      <c r="G91" s="12"/>
      <c r="H91" s="12"/>
      <c r="I91" s="12"/>
    </row>
    <row r="92" spans="1:9">
      <c r="A92" s="12"/>
      <c r="B92" s="12"/>
      <c r="C92" s="12"/>
      <c r="D92" s="12"/>
      <c r="E92" s="46"/>
      <c r="F92" s="46"/>
      <c r="G92" s="12"/>
      <c r="H92" s="12"/>
      <c r="I92" s="12"/>
    </row>
    <row r="93" spans="1:9">
      <c r="A93" s="12"/>
      <c r="B93" s="12"/>
      <c r="C93" s="12"/>
      <c r="D93" s="12"/>
      <c r="E93" s="46"/>
      <c r="F93" s="46"/>
      <c r="G93" s="12"/>
      <c r="H93" s="12"/>
      <c r="I93" s="12"/>
    </row>
    <row r="94" spans="1:9">
      <c r="A94" s="12"/>
      <c r="B94" s="12"/>
      <c r="C94" s="12"/>
      <c r="D94" s="12"/>
      <c r="E94" s="46"/>
      <c r="F94" s="46"/>
      <c r="G94" s="12"/>
      <c r="H94" s="12"/>
      <c r="I94" s="12"/>
    </row>
    <row r="95" spans="1:9">
      <c r="A95" s="12"/>
      <c r="B95" s="12"/>
      <c r="C95" s="12"/>
      <c r="D95" s="12"/>
      <c r="E95" s="46"/>
      <c r="F95" s="46"/>
      <c r="G95" s="12"/>
      <c r="H95" s="12"/>
      <c r="I95" s="12"/>
    </row>
    <row r="96" spans="1:9">
      <c r="A96" s="47"/>
      <c r="B96" s="47"/>
      <c r="C96" s="47"/>
      <c r="D96" s="47"/>
      <c r="E96" s="48"/>
      <c r="F96" s="48"/>
      <c r="G96" s="47"/>
      <c r="H96" s="47"/>
      <c r="I96" s="47"/>
    </row>
    <row r="97" spans="1:9">
      <c r="A97" s="47"/>
      <c r="B97" s="47"/>
      <c r="C97" s="47"/>
      <c r="D97" s="47"/>
      <c r="E97" s="48"/>
      <c r="F97" s="48"/>
      <c r="G97" s="47"/>
      <c r="H97" s="47"/>
      <c r="I97" s="47"/>
    </row>
    <row r="98" spans="1:9">
      <c r="A98" s="47"/>
      <c r="B98" s="47"/>
      <c r="C98" s="47"/>
      <c r="D98" s="47"/>
      <c r="E98" s="48"/>
      <c r="F98" s="48"/>
      <c r="G98" s="47"/>
      <c r="H98" s="47"/>
      <c r="I98" s="47"/>
    </row>
    <row r="99" spans="1:9">
      <c r="A99" s="47"/>
      <c r="B99" s="47"/>
      <c r="C99" s="47"/>
      <c r="D99" s="47"/>
      <c r="E99" s="48"/>
      <c r="F99" s="48"/>
      <c r="G99" s="47"/>
      <c r="H99" s="47"/>
      <c r="I99" s="47"/>
    </row>
    <row r="100" spans="1:9">
      <c r="A100" s="47"/>
      <c r="B100" s="47"/>
      <c r="C100" s="47"/>
      <c r="D100" s="47"/>
      <c r="E100" s="48"/>
      <c r="F100" s="48"/>
      <c r="G100" s="47"/>
      <c r="H100" s="47"/>
      <c r="I100" s="47"/>
    </row>
    <row r="101" spans="1:9">
      <c r="A101" s="47"/>
      <c r="B101" s="47"/>
      <c r="C101" s="47"/>
      <c r="D101" s="47"/>
      <c r="E101" s="48"/>
      <c r="F101" s="48"/>
      <c r="G101" s="47"/>
      <c r="H101" s="47"/>
      <c r="I101" s="47"/>
    </row>
    <row r="102" spans="1:9">
      <c r="A102" s="47"/>
      <c r="B102" s="47"/>
      <c r="C102" s="47"/>
      <c r="D102" s="47"/>
      <c r="E102" s="48"/>
      <c r="F102" s="48"/>
      <c r="G102" s="47"/>
      <c r="H102" s="47"/>
      <c r="I102" s="47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33"/>
    </row>
  </sheetData>
  <mergeCells count="39">
    <mergeCell ref="B21:D21"/>
    <mergeCell ref="C22:D22"/>
    <mergeCell ref="C27:D27"/>
    <mergeCell ref="C2:D2"/>
    <mergeCell ref="C7:D7"/>
    <mergeCell ref="C8:D8"/>
    <mergeCell ref="C14:D14"/>
    <mergeCell ref="C19:D19"/>
    <mergeCell ref="B20:D20"/>
    <mergeCell ref="C28:D28"/>
    <mergeCell ref="C33:D33"/>
    <mergeCell ref="C34:D34"/>
    <mergeCell ref="C39:D39"/>
    <mergeCell ref="C40:D40"/>
    <mergeCell ref="C63:D63"/>
    <mergeCell ref="C52:D52"/>
    <mergeCell ref="G52:H52"/>
    <mergeCell ref="C57:D57"/>
    <mergeCell ref="C45:D45"/>
    <mergeCell ref="C46:D46"/>
    <mergeCell ref="G46:H46"/>
    <mergeCell ref="C51:D51"/>
    <mergeCell ref="C58:D58"/>
    <mergeCell ref="G58:H58"/>
    <mergeCell ref="C72:D72"/>
    <mergeCell ref="G73:H73"/>
    <mergeCell ref="C77:D77"/>
    <mergeCell ref="C78:D78"/>
    <mergeCell ref="B64:D64"/>
    <mergeCell ref="B65:D65"/>
    <mergeCell ref="C66:D66"/>
    <mergeCell ref="G67:H67"/>
    <mergeCell ref="C71:D71"/>
    <mergeCell ref="A84:D84"/>
    <mergeCell ref="C86:D86"/>
    <mergeCell ref="C87:D87"/>
    <mergeCell ref="C89:D89"/>
    <mergeCell ref="C81:D81"/>
    <mergeCell ref="B82:D8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budget</vt:lpstr>
      <vt:lpstr>Personnel</vt:lpstr>
      <vt:lpstr>'2017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</dc:creator>
  <cp:lastModifiedBy>Eileen</cp:lastModifiedBy>
  <cp:lastPrinted>2016-09-02T13:52:57Z</cp:lastPrinted>
  <dcterms:created xsi:type="dcterms:W3CDTF">2016-09-01T16:07:37Z</dcterms:created>
  <dcterms:modified xsi:type="dcterms:W3CDTF">2017-01-11T17:15:47Z</dcterms:modified>
</cp:coreProperties>
</file>